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480" yWindow="1200" windowWidth="15180" windowHeight="9795" activeTab="3"/>
  </bookViews>
  <sheets>
    <sheet name="rekapitulace" sheetId="7" r:id="rId1"/>
    <sheet name="8a) OK 2017" sheetId="8" r:id="rId2"/>
    <sheet name="8b) Projekty spolufinancované" sheetId="14" r:id="rId3"/>
    <sheet name="8c) SMN" sheetId="13" r:id="rId4"/>
  </sheets>
  <definedNames>
    <definedName name="_xlnm.Print_Area" localSheetId="1">'8a) OK 2017'!$A$1:$E$571</definedName>
    <definedName name="_xlnm.Print_Area" localSheetId="2">'8b) Projekty spolufinancované'!$A$1:$E$215</definedName>
    <definedName name="_xlnm.Print_Area" localSheetId="3">'8c) SMN'!$A$1:$E$22</definedName>
    <definedName name="_xlnm.Print_Area" localSheetId="0">rekapitulace!$A$1:$D$46</definedName>
  </definedNames>
  <calcPr calcId="162913"/>
</workbook>
</file>

<file path=xl/calcChain.xml><?xml version="1.0" encoding="utf-8"?>
<calcChain xmlns="http://schemas.openxmlformats.org/spreadsheetml/2006/main">
  <c r="G45" i="7" l="1"/>
  <c r="E173" i="8" l="1"/>
  <c r="O45" i="7" l="1"/>
  <c r="O47" i="7" s="1"/>
  <c r="O44" i="7"/>
  <c r="O43" i="7"/>
  <c r="P43" i="7"/>
  <c r="N43" i="7"/>
  <c r="P47" i="7"/>
  <c r="N47" i="7"/>
  <c r="P45" i="7"/>
  <c r="N45" i="7"/>
  <c r="P44" i="7"/>
  <c r="N44" i="7"/>
  <c r="D28" i="7" l="1"/>
  <c r="D27" i="7"/>
  <c r="D52" i="14"/>
  <c r="K562" i="8"/>
  <c r="L562" i="8"/>
  <c r="J562" i="8"/>
  <c r="K571" i="8"/>
  <c r="D7" i="13" l="1"/>
  <c r="C7" i="13"/>
  <c r="B7" i="13"/>
  <c r="E214" i="14"/>
  <c r="E213" i="14"/>
  <c r="E212" i="14"/>
  <c r="E211" i="14"/>
  <c r="E210" i="14"/>
  <c r="E209" i="14"/>
  <c r="E208" i="14"/>
  <c r="E199" i="14"/>
  <c r="E197" i="14"/>
  <c r="E196" i="14"/>
  <c r="C196" i="14"/>
  <c r="B196" i="14"/>
  <c r="E190" i="14"/>
  <c r="D190" i="14"/>
  <c r="C190" i="14"/>
  <c r="B190" i="14"/>
  <c r="D185" i="14"/>
  <c r="C185" i="14"/>
  <c r="B185" i="14"/>
  <c r="D179" i="14"/>
  <c r="C179" i="14"/>
  <c r="B179" i="14"/>
  <c r="E176" i="14"/>
  <c r="E175" i="14"/>
  <c r="E170" i="14"/>
  <c r="D170" i="14"/>
  <c r="C170" i="14"/>
  <c r="B170" i="14"/>
  <c r="D164" i="14"/>
  <c r="C164" i="14"/>
  <c r="B164" i="14"/>
  <c r="E161" i="14"/>
  <c r="E160" i="14"/>
  <c r="E159" i="14"/>
  <c r="E157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D144" i="14"/>
  <c r="C144" i="14"/>
  <c r="B144" i="14"/>
  <c r="B137" i="14"/>
  <c r="D129" i="14"/>
  <c r="C129" i="14"/>
  <c r="B129" i="14"/>
  <c r="E125" i="14"/>
  <c r="E124" i="14"/>
  <c r="E123" i="14"/>
  <c r="E122" i="14"/>
  <c r="E120" i="14"/>
  <c r="E118" i="14"/>
  <c r="E117" i="14"/>
  <c r="E116" i="14"/>
  <c r="E115" i="14"/>
  <c r="E114" i="14"/>
  <c r="E112" i="14"/>
  <c r="E111" i="14"/>
  <c r="E110" i="14"/>
  <c r="E109" i="14"/>
  <c r="E108" i="14"/>
  <c r="E107" i="14"/>
  <c r="E103" i="14"/>
  <c r="E102" i="14"/>
  <c r="E101" i="14"/>
  <c r="D101" i="14"/>
  <c r="C101" i="14"/>
  <c r="B101" i="14"/>
  <c r="D95" i="14"/>
  <c r="C95" i="14"/>
  <c r="B95" i="14"/>
  <c r="E92" i="14"/>
  <c r="E91" i="14"/>
  <c r="E90" i="14"/>
  <c r="E89" i="14"/>
  <c r="E88" i="14"/>
  <c r="E87" i="14"/>
  <c r="E86" i="14"/>
  <c r="E85" i="14"/>
  <c r="B85" i="14"/>
  <c r="E79" i="14"/>
  <c r="E75" i="14"/>
  <c r="E73" i="14"/>
  <c r="E71" i="14"/>
  <c r="E70" i="14"/>
  <c r="E69" i="14"/>
  <c r="E67" i="14"/>
  <c r="E66" i="14"/>
  <c r="E65" i="14"/>
  <c r="E64" i="14"/>
  <c r="D64" i="14"/>
  <c r="C64" i="14"/>
  <c r="B64" i="14"/>
  <c r="C58" i="14"/>
  <c r="D58" i="14"/>
  <c r="B58" i="14"/>
  <c r="C52" i="14"/>
  <c r="B52" i="14"/>
  <c r="E48" i="14"/>
  <c r="E47" i="14"/>
  <c r="E46" i="14"/>
  <c r="E45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1" i="14"/>
  <c r="E19" i="14"/>
  <c r="E18" i="14"/>
  <c r="E17" i="14"/>
  <c r="E16" i="14"/>
  <c r="E15" i="14"/>
  <c r="E14" i="14"/>
  <c r="E13" i="14"/>
  <c r="E11" i="14"/>
  <c r="E10" i="14"/>
  <c r="E9" i="14"/>
  <c r="C7" i="14"/>
  <c r="D7" i="14"/>
  <c r="B7" i="14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570" i="8"/>
  <c r="E569" i="8"/>
  <c r="E568" i="8"/>
  <c r="E567" i="8"/>
  <c r="E566" i="8"/>
  <c r="E565" i="8"/>
  <c r="D571" i="8"/>
  <c r="C571" i="8"/>
  <c r="B571" i="8"/>
  <c r="C561" i="8"/>
  <c r="D561" i="8"/>
  <c r="B561" i="8"/>
  <c r="D540" i="8"/>
  <c r="C540" i="8"/>
  <c r="B540" i="8"/>
  <c r="D538" i="8"/>
  <c r="C538" i="8"/>
  <c r="B538" i="8"/>
  <c r="C532" i="8"/>
  <c r="D532" i="8"/>
  <c r="B532" i="8"/>
  <c r="C503" i="8"/>
  <c r="D503" i="8"/>
  <c r="B503" i="8"/>
  <c r="E497" i="8"/>
  <c r="E496" i="8"/>
  <c r="E495" i="8"/>
  <c r="E494" i="8"/>
  <c r="E493" i="8"/>
  <c r="E492" i="8"/>
  <c r="E491" i="8"/>
  <c r="D491" i="8"/>
  <c r="C491" i="8"/>
  <c r="B491" i="8"/>
  <c r="E481" i="8"/>
  <c r="E484" i="8"/>
  <c r="C484" i="8"/>
  <c r="D484" i="8"/>
  <c r="B484" i="8"/>
  <c r="C402" i="8"/>
  <c r="D402" i="8"/>
  <c r="B402" i="8"/>
  <c r="E398" i="8"/>
  <c r="E397" i="8"/>
  <c r="E396" i="8"/>
  <c r="E392" i="8"/>
  <c r="E391" i="8"/>
  <c r="E389" i="8"/>
  <c r="E388" i="8"/>
  <c r="E387" i="8"/>
  <c r="E386" i="8"/>
  <c r="E384" i="8"/>
  <c r="E383" i="8"/>
  <c r="E382" i="8"/>
  <c r="E380" i="8"/>
  <c r="E379" i="8"/>
  <c r="D376" i="8"/>
  <c r="C376" i="8"/>
  <c r="B376" i="8"/>
  <c r="C339" i="8"/>
  <c r="D339" i="8"/>
  <c r="B339" i="8"/>
  <c r="D323" i="8"/>
  <c r="C323" i="8"/>
  <c r="B323" i="8"/>
  <c r="C317" i="8"/>
  <c r="D317" i="8"/>
  <c r="B317" i="8"/>
  <c r="C216" i="8"/>
  <c r="D216" i="8"/>
  <c r="B216" i="8"/>
  <c r="C179" i="8"/>
  <c r="D179" i="8"/>
  <c r="B179" i="8"/>
  <c r="C173" i="8"/>
  <c r="D173" i="8"/>
  <c r="B173" i="8"/>
  <c r="C69" i="8"/>
  <c r="D69" i="8"/>
  <c r="B69" i="8"/>
  <c r="C7" i="8"/>
  <c r="D7" i="8"/>
  <c r="B7" i="8"/>
  <c r="C370" i="8" l="1"/>
  <c r="D370" i="8"/>
  <c r="B370" i="8"/>
  <c r="D169" i="8"/>
  <c r="C169" i="8"/>
  <c r="B169" i="8"/>
  <c r="D17" i="13"/>
  <c r="C17" i="13"/>
  <c r="B17" i="13"/>
  <c r="K78" i="14" l="1"/>
  <c r="L78" i="14"/>
  <c r="J78" i="14"/>
  <c r="J54" i="14" l="1"/>
  <c r="J155" i="14"/>
  <c r="L154" i="14"/>
  <c r="K154" i="14"/>
  <c r="J154" i="14"/>
  <c r="K364" i="8" l="1"/>
  <c r="L364" i="8"/>
  <c r="J364" i="8"/>
  <c r="E367" i="8"/>
  <c r="D366" i="8"/>
  <c r="C366" i="8"/>
  <c r="B366" i="8"/>
  <c r="E366" i="8" l="1"/>
  <c r="J54" i="7" l="1"/>
  <c r="K54" i="7"/>
  <c r="I54" i="7"/>
  <c r="C21" i="13" l="1"/>
  <c r="D21" i="13"/>
  <c r="B21" i="13"/>
  <c r="J19" i="13"/>
  <c r="I19" i="13"/>
  <c r="G46" i="7"/>
  <c r="I112" i="14"/>
  <c r="E17" i="13" l="1"/>
  <c r="L55" i="14"/>
  <c r="J55" i="14"/>
  <c r="K525" i="8"/>
  <c r="L525" i="8"/>
  <c r="J525" i="8"/>
  <c r="K524" i="8"/>
  <c r="L524" i="8"/>
  <c r="J524" i="8"/>
  <c r="H497" i="8"/>
  <c r="K478" i="8"/>
  <c r="L478" i="8"/>
  <c r="J478" i="8"/>
  <c r="K477" i="8"/>
  <c r="L477" i="8"/>
  <c r="J477" i="8"/>
  <c r="K363" i="8"/>
  <c r="L363" i="8"/>
  <c r="J363" i="8"/>
  <c r="K362" i="8"/>
  <c r="K365" i="8" s="1"/>
  <c r="L362" i="8"/>
  <c r="J362" i="8"/>
  <c r="J365" i="8" s="1"/>
  <c r="K313" i="8"/>
  <c r="L313" i="8"/>
  <c r="J313" i="8"/>
  <c r="K172" i="8"/>
  <c r="L172" i="8"/>
  <c r="J172" i="8"/>
  <c r="K171" i="8"/>
  <c r="L171" i="8"/>
  <c r="J171" i="8"/>
  <c r="L365" i="8" l="1"/>
  <c r="K526" i="8"/>
  <c r="L563" i="8"/>
  <c r="K49" i="7" s="1"/>
  <c r="K563" i="8"/>
  <c r="J49" i="7" s="1"/>
  <c r="J563" i="8"/>
  <c r="I49" i="7" s="1"/>
  <c r="J526" i="8"/>
  <c r="L526" i="8"/>
  <c r="C44" i="7"/>
  <c r="K223" i="14"/>
  <c r="L223" i="14"/>
  <c r="D44" i="7" s="1"/>
  <c r="J223" i="14"/>
  <c r="B44" i="7" s="1"/>
  <c r="J17" i="13" l="1"/>
  <c r="K17" i="13"/>
  <c r="I17" i="13"/>
  <c r="K18" i="13"/>
  <c r="J18" i="13"/>
  <c r="I18" i="13"/>
  <c r="B45" i="7"/>
  <c r="J199" i="14"/>
  <c r="J170" i="14"/>
  <c r="K155" i="14"/>
  <c r="L155" i="14"/>
  <c r="J156" i="14"/>
  <c r="K134" i="14"/>
  <c r="L134" i="14"/>
  <c r="J134" i="14"/>
  <c r="J135" i="14"/>
  <c r="J215" i="14" s="1"/>
  <c r="J94" i="14"/>
  <c r="K77" i="14"/>
  <c r="L77" i="14"/>
  <c r="K54" i="14"/>
  <c r="L54" i="14"/>
  <c r="D552" i="8"/>
  <c r="C552" i="8"/>
  <c r="B552" i="8"/>
  <c r="D550" i="8"/>
  <c r="L542" i="8" s="1"/>
  <c r="L567" i="8" s="1"/>
  <c r="K45" i="7" s="1"/>
  <c r="C550" i="8"/>
  <c r="K542" i="8" s="1"/>
  <c r="K567" i="8" s="1"/>
  <c r="J45" i="7" s="1"/>
  <c r="B550" i="8"/>
  <c r="J542" i="8" s="1"/>
  <c r="J567" i="8" s="1"/>
  <c r="I45" i="7" s="1"/>
  <c r="D556" i="8"/>
  <c r="L544" i="8" s="1"/>
  <c r="L569" i="8" s="1"/>
  <c r="K47" i="7" s="1"/>
  <c r="C556" i="8"/>
  <c r="K544" i="8" s="1"/>
  <c r="K569" i="8" s="1"/>
  <c r="J47" i="7" s="1"/>
  <c r="B556" i="8"/>
  <c r="J544" i="8" s="1"/>
  <c r="J569" i="8" s="1"/>
  <c r="I47" i="7" s="1"/>
  <c r="L540" i="8"/>
  <c r="K540" i="8"/>
  <c r="J540" i="8"/>
  <c r="D480" i="8"/>
  <c r="C480" i="8"/>
  <c r="B480" i="8"/>
  <c r="K314" i="8"/>
  <c r="L314" i="8"/>
  <c r="J314" i="8"/>
  <c r="L170" i="8"/>
  <c r="L173" i="8" s="1"/>
  <c r="K170" i="8"/>
  <c r="K173" i="8" s="1"/>
  <c r="J170" i="8"/>
  <c r="J173" i="8" s="1"/>
  <c r="E529" i="8"/>
  <c r="B567" i="8" l="1"/>
  <c r="L541" i="8"/>
  <c r="L566" i="8" s="1"/>
  <c r="K44" i="7" s="1"/>
  <c r="J541" i="8"/>
  <c r="J566" i="8" s="1"/>
  <c r="I44" i="7" s="1"/>
  <c r="K541" i="8"/>
  <c r="K566" i="8" s="1"/>
  <c r="J44" i="7" s="1"/>
  <c r="C565" i="8"/>
  <c r="B568" i="8"/>
  <c r="B565" i="8"/>
  <c r="L565" i="8"/>
  <c r="K43" i="7" s="1"/>
  <c r="J564" i="8"/>
  <c r="I53" i="7" s="1"/>
  <c r="L564" i="8"/>
  <c r="K564" i="8"/>
  <c r="J565" i="8"/>
  <c r="I43" i="7" s="1"/>
  <c r="K565" i="8"/>
  <c r="J43" i="7" s="1"/>
  <c r="E540" i="8"/>
  <c r="L156" i="14"/>
  <c r="K156" i="14"/>
  <c r="D565" i="8"/>
  <c r="E356" i="8"/>
  <c r="E357" i="8"/>
  <c r="E358" i="8"/>
  <c r="E359" i="8"/>
  <c r="E360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61" i="8"/>
  <c r="E362" i="8"/>
  <c r="E303" i="8"/>
  <c r="E304" i="8"/>
  <c r="E305" i="8"/>
  <c r="E306" i="8"/>
  <c r="E307" i="8"/>
  <c r="E308" i="8"/>
  <c r="E309" i="8"/>
  <c r="E302" i="8"/>
  <c r="E281" i="8"/>
  <c r="E282" i="8"/>
  <c r="E283" i="8"/>
  <c r="E284" i="8"/>
  <c r="E285" i="8"/>
  <c r="E286" i="8"/>
  <c r="E287" i="8"/>
  <c r="E288" i="8"/>
  <c r="E289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45" i="8"/>
  <c r="E146" i="8"/>
  <c r="E147" i="8"/>
  <c r="E148" i="8"/>
  <c r="E149" i="8"/>
  <c r="E150" i="8"/>
  <c r="E151" i="8"/>
  <c r="E152" i="8"/>
  <c r="E136" i="8"/>
  <c r="E128" i="8"/>
  <c r="E340" i="8" l="1"/>
  <c r="E267" i="8" l="1"/>
  <c r="E255" i="8"/>
  <c r="E256" i="8"/>
  <c r="E257" i="8"/>
  <c r="E258" i="8"/>
  <c r="E259" i="8"/>
  <c r="E260" i="8"/>
  <c r="E261" i="8"/>
  <c r="E262" i="8"/>
  <c r="E263" i="8"/>
  <c r="E264" i="8"/>
  <c r="E265" i="8"/>
  <c r="E266" i="8"/>
  <c r="E219" i="8" l="1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549" i="8" l="1"/>
  <c r="E548" i="8"/>
  <c r="E547" i="8"/>
  <c r="E546" i="8"/>
  <c r="E545" i="8"/>
  <c r="E544" i="8"/>
  <c r="E543" i="8"/>
  <c r="E539" i="8" l="1"/>
  <c r="H476" i="8"/>
  <c r="E475" i="8"/>
  <c r="E474" i="8"/>
  <c r="H469" i="8"/>
  <c r="H403" i="8"/>
  <c r="E403" i="8"/>
  <c r="E461" i="8"/>
  <c r="E462" i="8"/>
  <c r="E463" i="8"/>
  <c r="E464" i="8"/>
  <c r="E465" i="8"/>
  <c r="E466" i="8"/>
  <c r="E467" i="8"/>
  <c r="E468" i="8"/>
  <c r="H459" i="8"/>
  <c r="H446" i="8"/>
  <c r="H422" i="8"/>
  <c r="H416" i="8"/>
  <c r="H436" i="8"/>
  <c r="E423" i="8"/>
  <c r="E424" i="8"/>
  <c r="E425" i="8"/>
  <c r="E426" i="8"/>
  <c r="E427" i="8"/>
  <c r="E538" i="8" l="1"/>
  <c r="D131" i="14" l="1"/>
  <c r="E130" i="14" l="1"/>
  <c r="E557" i="8" l="1"/>
  <c r="L199" i="14"/>
  <c r="K199" i="14"/>
  <c r="J200" i="14"/>
  <c r="D196" i="14"/>
  <c r="D202" i="14" s="1"/>
  <c r="C202" i="14"/>
  <c r="C214" i="14" s="1"/>
  <c r="C25" i="7" s="1"/>
  <c r="B202" i="14"/>
  <c r="B214" i="14" s="1"/>
  <c r="B25" i="7" s="1"/>
  <c r="E187" i="14"/>
  <c r="E186" i="14"/>
  <c r="D213" i="14"/>
  <c r="D23" i="7" s="1"/>
  <c r="J187" i="14"/>
  <c r="D176" i="14"/>
  <c r="D175" i="14"/>
  <c r="K170" i="14"/>
  <c r="K171" i="14" s="1"/>
  <c r="J171" i="14"/>
  <c r="C212" i="14"/>
  <c r="C21" i="7" s="1"/>
  <c r="C20" i="7" s="1"/>
  <c r="B212" i="14"/>
  <c r="B21" i="7" s="1"/>
  <c r="B20" i="7" s="1"/>
  <c r="D134" i="14"/>
  <c r="C134" i="14"/>
  <c r="D133" i="14"/>
  <c r="C133" i="14"/>
  <c r="C132" i="14"/>
  <c r="D132" i="14" s="1"/>
  <c r="C131" i="14"/>
  <c r="B119" i="14"/>
  <c r="C118" i="14"/>
  <c r="B118" i="14"/>
  <c r="D112" i="14"/>
  <c r="D111" i="14"/>
  <c r="C111" i="14"/>
  <c r="D109" i="14"/>
  <c r="C109" i="14"/>
  <c r="D108" i="14"/>
  <c r="C108" i="14"/>
  <c r="D91" i="14"/>
  <c r="D90" i="14"/>
  <c r="C90" i="14"/>
  <c r="D89" i="14"/>
  <c r="D88" i="14"/>
  <c r="C88" i="14"/>
  <c r="D87" i="14"/>
  <c r="D86" i="14"/>
  <c r="C86" i="14"/>
  <c r="B76" i="14"/>
  <c r="B74" i="14"/>
  <c r="B72" i="14"/>
  <c r="B68" i="14"/>
  <c r="D79" i="14"/>
  <c r="C79" i="14"/>
  <c r="E55" i="14"/>
  <c r="C54" i="14"/>
  <c r="K55" i="14" s="1"/>
  <c r="E53" i="14"/>
  <c r="D21" i="14"/>
  <c r="C21" i="14"/>
  <c r="B19" i="14"/>
  <c r="D11" i="14"/>
  <c r="C11" i="14"/>
  <c r="B11" i="14"/>
  <c r="J77" i="14" l="1"/>
  <c r="L133" i="14"/>
  <c r="L212" i="14" s="1"/>
  <c r="K50" i="7" s="1"/>
  <c r="L221" i="14"/>
  <c r="D45" i="7" s="1"/>
  <c r="L53" i="14"/>
  <c r="L56" i="14" s="1"/>
  <c r="K94" i="14"/>
  <c r="H91" i="14"/>
  <c r="J91" i="14" s="1"/>
  <c r="H109" i="14"/>
  <c r="L135" i="14"/>
  <c r="L215" i="14" s="1"/>
  <c r="K53" i="7" s="1"/>
  <c r="L200" i="14"/>
  <c r="L94" i="14"/>
  <c r="H89" i="14"/>
  <c r="H112" i="14"/>
  <c r="J112" i="14" s="1"/>
  <c r="K53" i="14"/>
  <c r="K56" i="14" s="1"/>
  <c r="J53" i="14"/>
  <c r="J56" i="14" s="1"/>
  <c r="H87" i="14"/>
  <c r="K133" i="14"/>
  <c r="K212" i="14" s="1"/>
  <c r="J50" i="7" s="1"/>
  <c r="J133" i="14"/>
  <c r="J212" i="14" s="1"/>
  <c r="I50" i="7" s="1"/>
  <c r="K135" i="14"/>
  <c r="K215" i="14" s="1"/>
  <c r="J53" i="7" s="1"/>
  <c r="K221" i="14"/>
  <c r="J188" i="14"/>
  <c r="J214" i="14"/>
  <c r="I52" i="7" s="1"/>
  <c r="K200" i="14"/>
  <c r="B210" i="14"/>
  <c r="B15" i="7" s="1"/>
  <c r="L170" i="14"/>
  <c r="L171" i="14" s="1"/>
  <c r="C85" i="14"/>
  <c r="B211" i="14"/>
  <c r="B18" i="7" s="1"/>
  <c r="B79" i="14"/>
  <c r="B209" i="14"/>
  <c r="B12" i="7" s="1"/>
  <c r="E131" i="14"/>
  <c r="E133" i="14"/>
  <c r="J95" i="14"/>
  <c r="E134" i="14"/>
  <c r="E54" i="14"/>
  <c r="L187" i="14"/>
  <c r="L188" i="14" s="1"/>
  <c r="C211" i="14"/>
  <c r="C18" i="7" s="1"/>
  <c r="B213" i="14"/>
  <c r="B23" i="7" s="1"/>
  <c r="B22" i="7" s="1"/>
  <c r="D211" i="14"/>
  <c r="D18" i="7" s="1"/>
  <c r="C208" i="14"/>
  <c r="C9" i="7" s="1"/>
  <c r="E132" i="14"/>
  <c r="K187" i="14"/>
  <c r="K188" i="14" s="1"/>
  <c r="C213" i="14"/>
  <c r="L95" i="14"/>
  <c r="D85" i="14"/>
  <c r="E202" i="14"/>
  <c r="D214" i="14"/>
  <c r="E185" i="14"/>
  <c r="L213" i="14" l="1"/>
  <c r="K51" i="7" s="1"/>
  <c r="K213" i="14"/>
  <c r="J51" i="7" s="1"/>
  <c r="L214" i="14"/>
  <c r="K52" i="7" s="1"/>
  <c r="J213" i="14"/>
  <c r="K95" i="14"/>
  <c r="K214" i="14"/>
  <c r="C45" i="7"/>
  <c r="B207" i="14"/>
  <c r="B6" i="7" s="1"/>
  <c r="C207" i="14"/>
  <c r="C6" i="7" s="1"/>
  <c r="C23" i="7"/>
  <c r="D25" i="7"/>
  <c r="D137" i="14"/>
  <c r="C137" i="14"/>
  <c r="C210" i="14" s="1"/>
  <c r="C15" i="7" s="1"/>
  <c r="C209" i="14"/>
  <c r="C12" i="7" s="1"/>
  <c r="J136" i="14"/>
  <c r="B208" i="14"/>
  <c r="E7" i="14"/>
  <c r="E52" i="14"/>
  <c r="D207" i="14"/>
  <c r="E164" i="14"/>
  <c r="L136" i="14"/>
  <c r="K136" i="14"/>
  <c r="D208" i="14"/>
  <c r="E129" i="14"/>
  <c r="D6" i="7" l="1"/>
  <c r="E207" i="14"/>
  <c r="L216" i="14"/>
  <c r="L222" i="14" s="1"/>
  <c r="L224" i="14" s="1"/>
  <c r="C35" i="7"/>
  <c r="G48" i="7"/>
  <c r="K216" i="14"/>
  <c r="K222" i="14" s="1"/>
  <c r="J52" i="7"/>
  <c r="J216" i="14"/>
  <c r="J222" i="14" s="1"/>
  <c r="J224" i="14" s="1"/>
  <c r="I51" i="7"/>
  <c r="K224" i="14"/>
  <c r="B215" i="14"/>
  <c r="B9" i="7"/>
  <c r="B35" i="7" s="1"/>
  <c r="D9" i="7"/>
  <c r="E58" i="14"/>
  <c r="D212" i="14"/>
  <c r="E179" i="14"/>
  <c r="D209" i="14"/>
  <c r="E95" i="14"/>
  <c r="D210" i="14"/>
  <c r="E137" i="14"/>
  <c r="C215" i="14"/>
  <c r="D12" i="7" l="1"/>
  <c r="D15" i="7"/>
  <c r="D21" i="7"/>
  <c r="D20" i="7" s="1"/>
  <c r="D215" i="14"/>
  <c r="E215" i="14" s="1"/>
  <c r="D35" i="7" l="1"/>
  <c r="H413" i="8"/>
  <c r="H407" i="8"/>
  <c r="E525" i="8" l="1"/>
  <c r="E526" i="8"/>
  <c r="E527" i="8"/>
  <c r="E528" i="8"/>
  <c r="E299" i="8"/>
  <c r="E300" i="8"/>
  <c r="E301" i="8"/>
  <c r="K19" i="13"/>
  <c r="E13" i="13"/>
  <c r="E12" i="13"/>
  <c r="E335" i="8" l="1"/>
  <c r="E334" i="8"/>
  <c r="E333" i="8"/>
  <c r="E332" i="8"/>
  <c r="E212" i="8"/>
  <c r="E211" i="8"/>
  <c r="E210" i="8"/>
  <c r="E209" i="8"/>
  <c r="E208" i="8"/>
  <c r="E207" i="8"/>
  <c r="E206" i="8"/>
  <c r="E205" i="8"/>
  <c r="E204" i="8"/>
  <c r="E201" i="8"/>
  <c r="E200" i="8"/>
  <c r="E199" i="8"/>
  <c r="E198" i="8"/>
  <c r="E197" i="8"/>
  <c r="E196" i="8"/>
  <c r="E181" i="8"/>
  <c r="E14" i="13" l="1"/>
  <c r="E11" i="13"/>
  <c r="E10" i="13"/>
  <c r="E8" i="13"/>
  <c r="B22" i="13"/>
  <c r="B19" i="7" s="1"/>
  <c r="B36" i="7" s="1"/>
  <c r="E7" i="13" l="1"/>
  <c r="C22" i="13"/>
  <c r="C19" i="7" s="1"/>
  <c r="C36" i="7" s="1"/>
  <c r="D22" i="13" l="1"/>
  <c r="E21" i="13"/>
  <c r="E22" i="13" l="1"/>
  <c r="D19" i="7"/>
  <c r="D36" i="7" s="1"/>
  <c r="E245" i="8" l="1"/>
  <c r="L476" i="8"/>
  <c r="J476" i="8"/>
  <c r="K476" i="8"/>
  <c r="J479" i="8" l="1"/>
  <c r="K479" i="8"/>
  <c r="L479" i="8"/>
  <c r="E556" i="8"/>
  <c r="E170" i="8"/>
  <c r="E137" i="8"/>
  <c r="E523" i="8" l="1"/>
  <c r="E524" i="8"/>
  <c r="E404" i="8"/>
  <c r="E341" i="8"/>
  <c r="E342" i="8"/>
  <c r="E343" i="8"/>
  <c r="E274" i="8" l="1"/>
  <c r="E275" i="8"/>
  <c r="E276" i="8"/>
  <c r="E277" i="8"/>
  <c r="E278" i="8"/>
  <c r="E279" i="8"/>
  <c r="E280" i="8"/>
  <c r="E293" i="8"/>
  <c r="E294" i="8"/>
  <c r="E295" i="8"/>
  <c r="E268" i="8" l="1"/>
  <c r="E269" i="8"/>
  <c r="E270" i="8"/>
  <c r="E271" i="8"/>
  <c r="E272" i="8"/>
  <c r="E273" i="8"/>
  <c r="E296" i="8"/>
  <c r="E297" i="8"/>
  <c r="E298" i="8"/>
  <c r="E252" i="8"/>
  <c r="E253" i="8"/>
  <c r="E254" i="8"/>
  <c r="E217" i="8"/>
  <c r="E70" i="8" l="1"/>
  <c r="E432" i="8" l="1"/>
  <c r="E433" i="8"/>
  <c r="E434" i="8"/>
  <c r="E435" i="8"/>
  <c r="E436" i="8"/>
  <c r="E440" i="8"/>
  <c r="E441" i="8"/>
  <c r="E442" i="8"/>
  <c r="E443" i="8"/>
  <c r="E444" i="8"/>
  <c r="E445" i="8"/>
  <c r="E446" i="8"/>
  <c r="E447" i="8"/>
  <c r="E448" i="8"/>
  <c r="E314" i="8" l="1"/>
  <c r="D313" i="8"/>
  <c r="C313" i="8"/>
  <c r="B313" i="8"/>
  <c r="B566" i="8" s="1"/>
  <c r="K315" i="8" l="1"/>
  <c r="L315" i="8"/>
  <c r="J315" i="8"/>
  <c r="E313" i="8"/>
  <c r="L316" i="8" l="1"/>
  <c r="K48" i="7"/>
  <c r="J316" i="8"/>
  <c r="I48" i="7"/>
  <c r="K316" i="8"/>
  <c r="J48" i="7"/>
  <c r="E504" i="8" l="1"/>
  <c r="E377" i="8" l="1"/>
  <c r="E328" i="8" l="1"/>
  <c r="E329" i="8"/>
  <c r="E330" i="8"/>
  <c r="E331" i="8"/>
  <c r="E203" i="8"/>
  <c r="E191" i="8"/>
  <c r="E192" i="8"/>
  <c r="E193" i="8"/>
  <c r="E194" i="8"/>
  <c r="E190" i="8"/>
  <c r="E195" i="8"/>
  <c r="E202" i="8"/>
  <c r="B570" i="8" l="1"/>
  <c r="B27" i="7" s="1"/>
  <c r="B569" i="8"/>
  <c r="B17" i="7" l="1"/>
  <c r="B16" i="7" s="1"/>
  <c r="B43" i="7"/>
  <c r="E250" i="8"/>
  <c r="E249" i="8"/>
  <c r="E246" i="8"/>
  <c r="E243" i="8"/>
  <c r="E218" i="8"/>
  <c r="E553" i="8" l="1"/>
  <c r="E552" i="8" l="1"/>
  <c r="E339" i="8"/>
  <c r="E503" i="8"/>
  <c r="E179" i="8"/>
  <c r="E480" i="8"/>
  <c r="E323" i="8"/>
  <c r="C567" i="8"/>
  <c r="E376" i="8"/>
  <c r="E216" i="8"/>
  <c r="E370" i="8" l="1"/>
  <c r="D567" i="8"/>
  <c r="E144" i="8" l="1"/>
  <c r="E143" i="8"/>
  <c r="E135" i="8"/>
  <c r="E134" i="8"/>
  <c r="E133" i="8"/>
  <c r="E131" i="8"/>
  <c r="E129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2" i="8"/>
  <c r="E110" i="8"/>
  <c r="E109" i="8"/>
  <c r="E107" i="8"/>
  <c r="E106" i="8"/>
  <c r="E105" i="8"/>
  <c r="E104" i="8"/>
  <c r="E103" i="8"/>
  <c r="E102" i="8"/>
  <c r="E101" i="8"/>
  <c r="E100" i="8"/>
  <c r="E98" i="8"/>
  <c r="E97" i="8"/>
  <c r="E96" i="8"/>
  <c r="E94" i="8"/>
  <c r="E89" i="8"/>
  <c r="E88" i="8"/>
  <c r="E85" i="8"/>
  <c r="E84" i="8"/>
  <c r="E82" i="8"/>
  <c r="E81" i="8"/>
  <c r="E73" i="8"/>
  <c r="E74" i="8"/>
  <c r="E139" i="8" l="1"/>
  <c r="E138" i="8"/>
  <c r="E132" i="8"/>
  <c r="E130" i="8"/>
  <c r="E111" i="8"/>
  <c r="E108" i="8"/>
  <c r="E99" i="8"/>
  <c r="E95" i="8"/>
  <c r="E93" i="8"/>
  <c r="E92" i="8"/>
  <c r="E91" i="8"/>
  <c r="E90" i="8"/>
  <c r="E87" i="8"/>
  <c r="E86" i="8"/>
  <c r="E71" i="8"/>
  <c r="E72" i="8"/>
  <c r="E75" i="8"/>
  <c r="E76" i="8"/>
  <c r="E77" i="8"/>
  <c r="E78" i="8"/>
  <c r="E79" i="8"/>
  <c r="E80" i="8"/>
  <c r="E83" i="8"/>
  <c r="E513" i="8" l="1"/>
  <c r="E514" i="8"/>
  <c r="E515" i="8"/>
  <c r="E516" i="8"/>
  <c r="E517" i="8"/>
  <c r="E518" i="8"/>
  <c r="E519" i="8"/>
  <c r="E520" i="8"/>
  <c r="E521" i="8"/>
  <c r="E522" i="8"/>
  <c r="E512" i="8"/>
  <c r="E511" i="8"/>
  <c r="E510" i="8" l="1"/>
  <c r="E509" i="8"/>
  <c r="E506" i="8"/>
  <c r="E507" i="8"/>
  <c r="E505" i="8"/>
  <c r="E476" i="8" l="1"/>
  <c r="E473" i="8"/>
  <c r="E472" i="8"/>
  <c r="E471" i="8"/>
  <c r="E470" i="8"/>
  <c r="E469" i="8"/>
  <c r="E460" i="8"/>
  <c r="E459" i="8"/>
  <c r="E458" i="8"/>
  <c r="E457" i="8"/>
  <c r="E456" i="8"/>
  <c r="E455" i="8"/>
  <c r="E454" i="8"/>
  <c r="E453" i="8"/>
  <c r="E431" i="8" l="1"/>
  <c r="E430" i="8"/>
  <c r="E429" i="8"/>
  <c r="E428" i="8" l="1"/>
  <c r="E251" i="8" l="1"/>
  <c r="E248" i="8"/>
  <c r="E247" i="8"/>
  <c r="E244" i="8"/>
  <c r="E405" i="8" l="1"/>
  <c r="E406" i="8"/>
  <c r="E407" i="8"/>
  <c r="C24" i="7" l="1"/>
  <c r="B24" i="7"/>
  <c r="D24" i="7" l="1"/>
  <c r="E327" i="8" l="1"/>
  <c r="E326" i="8"/>
  <c r="E324" i="8"/>
  <c r="E189" i="8"/>
  <c r="E188" i="8"/>
  <c r="E183" i="8" l="1"/>
  <c r="C569" i="8" l="1"/>
  <c r="C17" i="7" s="1"/>
  <c r="C16" i="7" s="1"/>
  <c r="D566" i="8"/>
  <c r="D568" i="8" l="1"/>
  <c r="E421" i="8"/>
  <c r="E422" i="8"/>
  <c r="E449" i="8"/>
  <c r="E450" i="8"/>
  <c r="E420" i="8"/>
  <c r="E419" i="8"/>
  <c r="E414" i="8"/>
  <c r="E415" i="8"/>
  <c r="E416" i="8"/>
  <c r="D569" i="8" l="1"/>
  <c r="E532" i="8"/>
  <c r="C568" i="8"/>
  <c r="E317" i="8"/>
  <c r="C566" i="8"/>
  <c r="D17" i="7" l="1"/>
  <c r="D16" i="7" s="1"/>
  <c r="K543" i="8" l="1"/>
  <c r="L543" i="8"/>
  <c r="J543" i="8"/>
  <c r="J568" i="8" l="1"/>
  <c r="J545" i="8"/>
  <c r="L568" i="8"/>
  <c r="L545" i="8"/>
  <c r="K568" i="8"/>
  <c r="K545" i="8"/>
  <c r="L571" i="8" l="1"/>
  <c r="K46" i="7"/>
  <c r="K55" i="7" s="1"/>
  <c r="J46" i="7"/>
  <c r="J55" i="7" s="1"/>
  <c r="J571" i="8"/>
  <c r="I46" i="7"/>
  <c r="I55" i="7" s="1"/>
  <c r="E408" i="8"/>
  <c r="E409" i="8"/>
  <c r="E410" i="8"/>
  <c r="E452" i="8"/>
  <c r="E451" i="8"/>
  <c r="E418" i="8"/>
  <c r="E417" i="8"/>
  <c r="E413" i="8"/>
  <c r="E412" i="8"/>
  <c r="E411" i="8"/>
  <c r="E402" i="8" l="1"/>
  <c r="E508" i="8"/>
  <c r="E187" i="8" l="1"/>
  <c r="E186" i="8"/>
  <c r="E185" i="8"/>
  <c r="E184" i="8"/>
  <c r="E180" i="8" l="1"/>
  <c r="C22" i="7" l="1"/>
  <c r="D22" i="7" l="1"/>
  <c r="E325" i="8" l="1"/>
  <c r="E182" i="8" l="1"/>
  <c r="E561" i="8" l="1"/>
  <c r="C570" i="8"/>
  <c r="C43" i="7" s="1"/>
  <c r="C27" i="7" l="1"/>
  <c r="D570" i="8"/>
  <c r="D43" i="7" s="1"/>
  <c r="E169" i="8" l="1"/>
  <c r="B26" i="7" l="1"/>
  <c r="B11" i="7"/>
  <c r="B10" i="7" s="1"/>
  <c r="C14" i="7"/>
  <c r="C13" i="7" s="1"/>
  <c r="D14" i="7"/>
  <c r="D13" i="7" s="1"/>
  <c r="B14" i="7"/>
  <c r="B13" i="7" s="1"/>
  <c r="E7" i="8"/>
  <c r="E69" i="8"/>
  <c r="D5" i="7" l="1"/>
  <c r="C11" i="7"/>
  <c r="C10" i="7" s="1"/>
  <c r="C26" i="7"/>
  <c r="D4" i="7" l="1"/>
  <c r="B5" i="7"/>
  <c r="C5" i="7"/>
  <c r="D26" i="7"/>
  <c r="D11" i="7"/>
  <c r="D10" i="7" s="1"/>
  <c r="C4" i="7" l="1"/>
  <c r="B4" i="7"/>
  <c r="E571" i="8"/>
  <c r="D8" i="7"/>
  <c r="D34" i="7" s="1"/>
  <c r="D37" i="7" s="1"/>
  <c r="C46" i="7"/>
  <c r="C8" i="7"/>
  <c r="C34" i="7" s="1"/>
  <c r="C37" i="7" s="1"/>
  <c r="C7" i="7" l="1"/>
  <c r="C28" i="7" s="1"/>
  <c r="D7" i="7"/>
  <c r="J62" i="7" s="1"/>
  <c r="J64" i="7" s="1"/>
  <c r="D46" i="7"/>
  <c r="B8" i="7" l="1"/>
  <c r="B34" i="7" s="1"/>
  <c r="B37" i="7" s="1"/>
  <c r="B46" i="7"/>
  <c r="B51" i="7" s="1"/>
  <c r="B7" i="7" l="1"/>
  <c r="B28" i="7" s="1"/>
</calcChain>
</file>

<file path=xl/sharedStrings.xml><?xml version="1.0" encoding="utf-8"?>
<sst xmlns="http://schemas.openxmlformats.org/spreadsheetml/2006/main" count="1724" uniqueCount="748">
  <si>
    <t>schválený rozpočet</t>
  </si>
  <si>
    <t>upravený rozpočet</t>
  </si>
  <si>
    <t>ORG</t>
  </si>
  <si>
    <t>Celkem</t>
  </si>
  <si>
    <t>skutečnost</t>
  </si>
  <si>
    <t>název akce</t>
  </si>
  <si>
    <t xml:space="preserve"> %</t>
  </si>
  <si>
    <t>oblast školství</t>
  </si>
  <si>
    <t>oblast kultury</t>
  </si>
  <si>
    <t>oblast sociální</t>
  </si>
  <si>
    <t>oblast zdravotnictví</t>
  </si>
  <si>
    <t>oblast dopravy</t>
  </si>
  <si>
    <t>Rekapitulace:</t>
  </si>
  <si>
    <t xml:space="preserve"> - oblast dopravy</t>
  </si>
  <si>
    <t xml:space="preserve"> - oblast zdravotnictví</t>
  </si>
  <si>
    <t xml:space="preserve"> - oblast sociální</t>
  </si>
  <si>
    <t xml:space="preserve"> - oblast školství</t>
  </si>
  <si>
    <t xml:space="preserve"> - oblast kultury</t>
  </si>
  <si>
    <t>v Kč</t>
  </si>
  <si>
    <t>1. Oblast školství</t>
  </si>
  <si>
    <t xml:space="preserve">Oblast školství celkem </t>
  </si>
  <si>
    <t xml:space="preserve">Oblast sociální celkem </t>
  </si>
  <si>
    <t xml:space="preserve">Oblast kultury celkem </t>
  </si>
  <si>
    <t xml:space="preserve">Oblast zdravotnictví celkem </t>
  </si>
  <si>
    <t xml:space="preserve">Oblast dopravy celkem </t>
  </si>
  <si>
    <t xml:space="preserve"> - rozpočet kraje</t>
  </si>
  <si>
    <t>oblast krajské správy</t>
  </si>
  <si>
    <t>CELKEM</t>
  </si>
  <si>
    <t xml:space="preserve">2. Oblast sociální </t>
  </si>
  <si>
    <t>b/ akce zajišťované příspěvkovými organizacemi</t>
  </si>
  <si>
    <t xml:space="preserve">5. Oblast zdravotnictví </t>
  </si>
  <si>
    <t>oblast zdravotnictví - nájemné NOK</t>
  </si>
  <si>
    <t>odbor strategického rozvoje kraje</t>
  </si>
  <si>
    <t>ORJ 17</t>
  </si>
  <si>
    <t>oblast informačních technologií</t>
  </si>
  <si>
    <t>PO</t>
  </si>
  <si>
    <t>ORJ 04</t>
  </si>
  <si>
    <t>ORJ 59</t>
  </si>
  <si>
    <t>Vypořádání staveb po jejich dokončení z minulých let - výkupy pozemků a jiné</t>
  </si>
  <si>
    <t>ORJ 50</t>
  </si>
  <si>
    <t>Orj 03</t>
  </si>
  <si>
    <t>Orj 08</t>
  </si>
  <si>
    <t>ORJ 8</t>
  </si>
  <si>
    <t>ORJ 52</t>
  </si>
  <si>
    <t>III/44029 Drahotuše - průtah</t>
  </si>
  <si>
    <t xml:space="preserve"> - projekty financované metodou EPC</t>
  </si>
  <si>
    <t>akce zajišťované příslušnými odbory</t>
  </si>
  <si>
    <t>Oblast krizového řízení</t>
  </si>
  <si>
    <t>Oblast krizového řízení celkem</t>
  </si>
  <si>
    <t xml:space="preserve"> - oblast krizového řízení</t>
  </si>
  <si>
    <t>VOŠ a SPŠ elektrotechnická Olomouc - školní tělocvična</t>
  </si>
  <si>
    <t>100474</t>
  </si>
  <si>
    <t xml:space="preserve">Dům seniorů FRANTIŠEK Náměšť na Hané - přístavba pavilonu </t>
  </si>
  <si>
    <t>100755</t>
  </si>
  <si>
    <t>II/369 Hanušovice - křižovatka I/11</t>
  </si>
  <si>
    <t>III/37354, III/36618 Horní Štěpánov</t>
  </si>
  <si>
    <t>III/4359, III4353 Velký Týnec - rekonstrukce silnice, IV. Etapa</t>
  </si>
  <si>
    <t>Bělkovice - Lašťany - průtah</t>
  </si>
  <si>
    <t>kř. II/367 - Tovačov</t>
  </si>
  <si>
    <t>Přerov - Doloplazy - kř. II/437</t>
  </si>
  <si>
    <t>ORJ 59, UZ 880-4</t>
  </si>
  <si>
    <t>ORJ 50, UZ 88x</t>
  </si>
  <si>
    <t>b/ akce zajišťované Správou silnic Olomouckého kraje (ORG 1600)</t>
  </si>
  <si>
    <t>UZ 12</t>
  </si>
  <si>
    <t>oblast krizového řízení</t>
  </si>
  <si>
    <t>100950</t>
  </si>
  <si>
    <t>100993</t>
  </si>
  <si>
    <t xml:space="preserve"> - investiční výdaje odborů</t>
  </si>
  <si>
    <t>Oblast informačních technologií</t>
  </si>
  <si>
    <t>Oblast informačních technologií celkem</t>
  </si>
  <si>
    <t xml:space="preserve"> - oblast informačních technologií</t>
  </si>
  <si>
    <t>PO - SFDI</t>
  </si>
  <si>
    <t>3. Oblast kultury</t>
  </si>
  <si>
    <t>4. Oblast dopravy</t>
  </si>
  <si>
    <t xml:space="preserve">Klíč - centrum sociálních služeb rekonstrukce budovy </t>
  </si>
  <si>
    <t>Domov pro seniory Javorník – půdní vestavba</t>
  </si>
  <si>
    <t>Toveř - Dolany</t>
  </si>
  <si>
    <t>Přerov, ul. Tovární</t>
  </si>
  <si>
    <t>Kozlovice - průtah</t>
  </si>
  <si>
    <t>Radslavice - průtah</t>
  </si>
  <si>
    <t>Leština - Hrabišín</t>
  </si>
  <si>
    <t>hr.okr.Ustí nad O - křiž. II/446 před Hanušovicemi</t>
  </si>
  <si>
    <t>6. Oblast cestovního ruchu</t>
  </si>
  <si>
    <t>Oblast cestovního ruchu</t>
  </si>
  <si>
    <t>Oblast cestovního ruchu celkem</t>
  </si>
  <si>
    <t>7. Oblast krizového řízení</t>
  </si>
  <si>
    <t>8. Oblast informačních technologií</t>
  </si>
  <si>
    <t xml:space="preserve"> - oblast cestovního ruchu</t>
  </si>
  <si>
    <t>oblast cestovního ruchu</t>
  </si>
  <si>
    <t>odbor kancelář ředitele</t>
  </si>
  <si>
    <t>1633</t>
  </si>
  <si>
    <t>1635</t>
  </si>
  <si>
    <t>1638</t>
  </si>
  <si>
    <t>1645</t>
  </si>
  <si>
    <t>1647</t>
  </si>
  <si>
    <t>1656</t>
  </si>
  <si>
    <t>100522</t>
  </si>
  <si>
    <t>100824</t>
  </si>
  <si>
    <t>100856</t>
  </si>
  <si>
    <t>100994</t>
  </si>
  <si>
    <t>101064</t>
  </si>
  <si>
    <t>101068</t>
  </si>
  <si>
    <t>101070</t>
  </si>
  <si>
    <t>101073</t>
  </si>
  <si>
    <t>101074</t>
  </si>
  <si>
    <t>101179</t>
  </si>
  <si>
    <t>ORJ 52, UZ 10</t>
  </si>
  <si>
    <t>ORJ 52, UZ 11</t>
  </si>
  <si>
    <t>101112</t>
  </si>
  <si>
    <t>ORJ 52, UZ 14</t>
  </si>
  <si>
    <t>ORJ 52, UZ 15</t>
  </si>
  <si>
    <t>ORJ 59, UZ 880-2</t>
  </si>
  <si>
    <t>ORJ 50, UZ 12</t>
  </si>
  <si>
    <t>ORJ 59, UZ 16</t>
  </si>
  <si>
    <t>ORJ 10 UZ 883</t>
  </si>
  <si>
    <t>Střední lesnická škola, Jurikova 588, Hranice - centrum odborné přípravy</t>
  </si>
  <si>
    <t>Střední škola zemědělská a zahradnická, U Hradiska 4, Olomouc - centrum odborné přípravy</t>
  </si>
  <si>
    <t>Střední škola zemědělská, Osmek 47, Přerov - centrum odborné přípravy</t>
  </si>
  <si>
    <t>Obchodní akademie, Olomouc - Zateplení uliční a dvorní fasády</t>
  </si>
  <si>
    <t>Slovanské gymnázium, Olomouc, tř. Jiřího z Poděbrad 13 - Elektroinstalace a modernizace počítačové sítě, objekt Pasteurova ulice</t>
  </si>
  <si>
    <t>Střední průmyslová škola stavební, Lipník nad Bečvou -  Elektroinstalace</t>
  </si>
  <si>
    <t>Gymnázium Jakuba Škody, Přerov, Komenského 29 - Výměna oken a oprava fasády historické budovy</t>
  </si>
  <si>
    <t>Obchodní akademie a Jazyková škola s právem státní jazykové zkoušky, Přerov, Bartošova 24 - Kanalizace</t>
  </si>
  <si>
    <t>Střední průmyslová škola, Přerov, Havlíčkova 2 - Střecha</t>
  </si>
  <si>
    <t>Střední odborná škola a Střední odborné učiliště strojírenské a stavební, Jeseník, Dukelská 1240 - Sociální zařízení v budově domova mládeže</t>
  </si>
  <si>
    <t>Gymnázium, Olomouc, Čajkovského 9 - Elektroinstalace</t>
  </si>
  <si>
    <t xml:space="preserve">Střední průmyslová škola Hranice - Kotelna Teplická ul. </t>
  </si>
  <si>
    <t>Obchodní akademie, Prostějov, Palackého 18 - Výměna osvětlení</t>
  </si>
  <si>
    <t xml:space="preserve">Dům dětí a mládeže Olomouc - Oplocení areálu </t>
  </si>
  <si>
    <t>Obchodní akademie, Prostějov, Palackého 18 - Počítačová síť</t>
  </si>
  <si>
    <t>Obchodní akademie a Jazyková škola s právem státní jazykové zkoušky, Přerov, Bartošova 24 - Elektroinstalace a osvětlení</t>
  </si>
  <si>
    <t>Střední odborná škola průmyslová a Střední odborné učiliště strojírenské, Prostějov, Lidická 4 - Oprava fasády na dílnách Wolkerova 24</t>
  </si>
  <si>
    <t>Střední odborná škola a Střední odborné učiliště strojírenské a stavební, Jeseník, Dukelská 1240 - Rekonstrukce rozvodů, sociálního zařízení a elektroinstalace</t>
  </si>
  <si>
    <t>Střední lesnická škola, Hranice, Jurikova 588 - Kotelna DM</t>
  </si>
  <si>
    <t xml:space="preserve">Střední odborná škola a Střední odborné učiliště strojírenské a stavební, Jeseník, Dukelská 1240 - kotelna </t>
  </si>
  <si>
    <t xml:space="preserve">Gymnázium, Uničov, Gymnazijní 257 -  kotelna </t>
  </si>
  <si>
    <t>Střední odborná škola lesnická a strojírenská Šternberk -  kotelna</t>
  </si>
  <si>
    <t>Střední škola, Základní škola a Mateřská škola Prostějov, Komenského 10 - Půdní vestavba</t>
  </si>
  <si>
    <t>Střední průmyslová škola strojnická Olomouc - rozšíření učeben</t>
  </si>
  <si>
    <t>Střední škola, Základní škola a Mateřská škola Prof. V. Vejdovského - úprava venkovních ploch areálu, odloučené pracoviště SŠ Gorazdovo náměstí 1, Olomouc</t>
  </si>
  <si>
    <t>Gymnázium Olomouc-Hejčín - revitalizace sportovního areálu</t>
  </si>
  <si>
    <t>Gymnázium Olomouc, Čajkovského 9 - výměna topného systému</t>
  </si>
  <si>
    <t xml:space="preserve">Bezbariérové úpravy školských zařízení v Olomouckém kraji - Obchodní akademie Olomouc </t>
  </si>
  <si>
    <t>SOŠ lesnická a strojírenská Šternberk – sociální zařízení na domově mládeže</t>
  </si>
  <si>
    <t>Vybavení školních laboratoří v bezbariérové škole - VOŠ a SPŠ elektrotechnická - Olomouc, Božetěchova 3</t>
  </si>
  <si>
    <t>Bezbariérový přístup do SPŠ Hranice a rekonstrukce chemické laboratoře</t>
  </si>
  <si>
    <t>Rekonstrukce dílen praktického vyučování  (Střední průmyslová škola, Přerov, Havlíčkova 2)</t>
  </si>
  <si>
    <t>Modernizace učeben a vybavení pro odborný výcvik (Střední škola gastronomie a farmářství Jeseník, pracoviště Horní Heřmanice)</t>
  </si>
  <si>
    <t>Výstavba odborných učeben pro výuku oboru 28-44-M/01 Aplikovaná chemie v bezbariérové škole (Střední škola logistiky a chemie, Olomouc, U Hradiska 29 )</t>
  </si>
  <si>
    <t>Centrum polytechnické výchovy (Střední škola polytechnická, Olomouc, Rooseveltova 79)</t>
  </si>
  <si>
    <t>Bezbariérovost školy a Pořízení strojů pro zajištění výuky oborů Strojírenství, Elektrotechnika, Průmyslový a Interiérový design  (Vyšší odborná škola a Střední průmyslová škola, Šumperk, Gen. Krátkého 1)</t>
  </si>
  <si>
    <t xml:space="preserve">Domov mládeže v Žádlovicích – areál zámeckého parku </t>
  </si>
  <si>
    <t xml:space="preserve">Modernizace učeben, vybavení a vnitřní konektivity školy -  Gymnázium Olomouc – Hejčín </t>
  </si>
  <si>
    <t>Modernizace učeben a laboratoří na ulici Kouřílkova 8 a Bratří Hovůrkových 17 (Střední škola technická, Přerov)</t>
  </si>
  <si>
    <t>Celková rekonstrukce zastaralých laboratoří chemických, fyzikálních a biologických, včetně nového vybavení (Gymnázium Jeseník)</t>
  </si>
  <si>
    <t>Pořízení vybavení pro odborné učebny - modernizace CNC zařízení a 3D zařízení včetně SW, rekonstrukce nové učebny programovatelných automatů, modernizace konektivity školy ve vazbě na odborné předměty (Střední průmyslová škola elektrotechnická, Mohelnice, Ge. Svobody 2)</t>
  </si>
  <si>
    <t>Pořízení nových technologií pro odbornou výuku (Střední škola technická a zemědělská Mohelnice)</t>
  </si>
  <si>
    <t>SŠZE Přerov – modernizace teoretické a odborné výuky</t>
  </si>
  <si>
    <t xml:space="preserve">Klíč - centrum sociálních služeb - Odstranění vlhkosti zdiva v suterénu </t>
  </si>
  <si>
    <t>Domov u Třebůvky Loštice – rekonstrukce bytových jader</t>
  </si>
  <si>
    <t>Domov důchodců Prostějov - Modernizace sociálních zařízení</t>
  </si>
  <si>
    <t>Vincentinum – poskytovatel sociálních služeb Šternberk – stravovací provoz</t>
  </si>
  <si>
    <t>Domov seniorů Pohoda Chválkovice - Výměna vodorovných rozvodů TUV v hlavní budově</t>
  </si>
  <si>
    <t>Domov "Na Zámku" Nezamyslice - Statické zajištění budovy, výměna oken a obnova fasády</t>
  </si>
  <si>
    <t>Domov důchodců Hrubá Voda - Trafostanice</t>
  </si>
  <si>
    <t>Klíč - centrum sociálních služeb - Zateplení budovy chráněného bydlení Domov</t>
  </si>
  <si>
    <t>Domov "Na Zámku" Nezamyslice - Výtah do prádelny</t>
  </si>
  <si>
    <t>Domov pro seniory Javorník – rekonstrukce ČOV Kobylá</t>
  </si>
  <si>
    <t>Transformace příspěvkové organizace Nové Zámky – I. etapa</t>
  </si>
  <si>
    <t>Vincentinum Šternberk, příspěvková organizace – rekonstrukce budovy ve Vikýřovicích</t>
  </si>
  <si>
    <t xml:space="preserve">Centrum Dominika Kokory, p. o. – rekonstrukce budovy </t>
  </si>
  <si>
    <t>II/436 Přerov - úprava křižovatky silnic, Dluhonská</t>
  </si>
  <si>
    <t>Vypořádání staveb po jejich dokončení z minul. let - výkupy pozemků a jiné</t>
  </si>
  <si>
    <t xml:space="preserve">Štěpánov, křižovatka Březecká </t>
  </si>
  <si>
    <t>Loučka po kř. s III/44025</t>
  </si>
  <si>
    <t>Štarnov - průtah</t>
  </si>
  <si>
    <t xml:space="preserve">Zvýšení přeshraniční dostupnosti Hanušovice – Stronie Ślaskie </t>
  </si>
  <si>
    <t xml:space="preserve">Zvýšení přeshraniční dostupnosti Písečná – Nysa </t>
  </si>
  <si>
    <t>ZZS OK  - Čerpací stanice pro heliport Olomouc</t>
  </si>
  <si>
    <t>SMN a.s. – o.z. Nemocnice Prostějov – Vybudování dětské jednotky pro dlouhodobou péči</t>
  </si>
  <si>
    <t>SMN a.s. - o.z. Nemocnice Prostějov - Rekonstrukce neurologie</t>
  </si>
  <si>
    <t>ZZS OK - Výjezdové stanoviště Přerov - zateplení budovy</t>
  </si>
  <si>
    <t>Zdravotnická záchranná služba OK - výstavba dvougaráže výjezdové základny v Hanušovicích</t>
  </si>
  <si>
    <t>ZZS OK - Nákup 8 ks sanitních vozidel</t>
  </si>
  <si>
    <t>Odborný léčebný ústav Paseka Budova "C" I. etapa, 1. část - nástavba oddělení izolace pro pacienty TBC nad kinosálem</t>
  </si>
  <si>
    <t>ZZS OK - Modernizace výcvikových středisek</t>
  </si>
  <si>
    <t>SMN a.s. - o.z. Nemocnice Šternberk - výtahy</t>
  </si>
  <si>
    <t>SMN a.s. - o.z. Nemocnice Šternberk - Interní pavilon</t>
  </si>
  <si>
    <t>Marketingové aktivity Olomouckého kraje v oblasti cestovního ruchu</t>
  </si>
  <si>
    <t>Digitální povodňový plán OK</t>
  </si>
  <si>
    <t>Kybernetická bezpečnost Krajského úřadu Olomouckého kraje</t>
  </si>
  <si>
    <t>Střední průmyslová škola, Přerov, Havlíčkova 2 – Tělocvična</t>
  </si>
  <si>
    <t>III/3732 Odrlice - průtah</t>
  </si>
  <si>
    <t>II/444 Úsov - Uničov</t>
  </si>
  <si>
    <t>Domov Sněženka Jeseník, příspěvková organizace - Malování a nátěry v interiéru budovy</t>
  </si>
  <si>
    <t>1639</t>
  </si>
  <si>
    <t>1641</t>
  </si>
  <si>
    <t>1642</t>
  </si>
  <si>
    <t>1657</t>
  </si>
  <si>
    <t>1660</t>
  </si>
  <si>
    <t>Centrum Dominika Kokory, příspěvková organizace - Malování</t>
  </si>
  <si>
    <t>1661</t>
  </si>
  <si>
    <t>Centrum Dominika Kokory, příspěvková organizace - Výměna PVC</t>
  </si>
  <si>
    <t>1663</t>
  </si>
  <si>
    <t>100130 + 000000</t>
  </si>
  <si>
    <t>Transformace nových zámků - poskytovatel sociální péče, příspěvková organizace</t>
  </si>
  <si>
    <t xml:space="preserve">a) Financováno z rozpočtu Olomouckého kraje </t>
  </si>
  <si>
    <t>8. Opravy a investice Olomouckého kraje 2017</t>
  </si>
  <si>
    <t xml:space="preserve"> - oblast zdravotnictví - nájemné NOK</t>
  </si>
  <si>
    <t>8. Přehled financování oprav a investic v roce 2017</t>
  </si>
  <si>
    <t>100520</t>
  </si>
  <si>
    <t>100524</t>
  </si>
  <si>
    <t>100540</t>
  </si>
  <si>
    <t>101192</t>
  </si>
  <si>
    <t>101193</t>
  </si>
  <si>
    <t>101194</t>
  </si>
  <si>
    <t>101195</t>
  </si>
  <si>
    <t>101197</t>
  </si>
  <si>
    <t>101198</t>
  </si>
  <si>
    <t>101199</t>
  </si>
  <si>
    <t>101200</t>
  </si>
  <si>
    <t>101201</t>
  </si>
  <si>
    <t>101202</t>
  </si>
  <si>
    <t>101203</t>
  </si>
  <si>
    <t>101204</t>
  </si>
  <si>
    <t>101205</t>
  </si>
  <si>
    <t>101206</t>
  </si>
  <si>
    <t>101207</t>
  </si>
  <si>
    <t>101247</t>
  </si>
  <si>
    <t>a) akce zajišťované odborem investic</t>
  </si>
  <si>
    <t>c) SMN</t>
  </si>
  <si>
    <t>II/448- Drahanovice- Olomouc</t>
  </si>
  <si>
    <t>PO, ORJ 12</t>
  </si>
  <si>
    <t>II/449 - kř.II/366- MÚK Unčovice</t>
  </si>
  <si>
    <t>II/373-Chudobín -průtah</t>
  </si>
  <si>
    <t>II/441-křiž.R35-hr.kraje Moravskoslezkého</t>
  </si>
  <si>
    <t>II/440 Mor.Beroun-hr.Voj.újezdu</t>
  </si>
  <si>
    <t>III/31550 Nová Hradečná - Lipinka</t>
  </si>
  <si>
    <t>III/31552 Troubelice - Nová Hradečná</t>
  </si>
  <si>
    <t>III/44319 Posluchov</t>
  </si>
  <si>
    <t>III/44410 Medlov - Králová</t>
  </si>
  <si>
    <t>III/44423 Horní Žleb - Dálov</t>
  </si>
  <si>
    <t>III/44645 Staré Město -Branná</t>
  </si>
  <si>
    <t>II/315 hr.okr.Ústí nad Orlicí-zábřeh- Leština</t>
  </si>
  <si>
    <t>II/437 hr.okr. Kroměříž-Lipník nad Bečvou</t>
  </si>
  <si>
    <t>II/449 Uničov - Bruntál</t>
  </si>
  <si>
    <t>II/448 Laškov -Kandia-hr.okr.OL</t>
  </si>
  <si>
    <t>II/456 Žulová - křiž.II/457</t>
  </si>
  <si>
    <t>Střední průmyslová škola elektrotechnická, Mohelnice, Gen. Svobody 2 - Kotelna</t>
  </si>
  <si>
    <t>Střední zdravotnická škola a Vyšší odborná škola zdravotnická Emanuela Pöttinga, Olomouc, Pöttingova 2 - Sanace krovu školní budovy</t>
  </si>
  <si>
    <t>Střední průmyslová škola a Obchodní akademie, Uničov, Školní 164 - Školní kuchyň a jídelna</t>
  </si>
  <si>
    <t>Střední průmyslová škola, Přerov, Havlíčkova 2 - Výměna elektrorozvodů</t>
  </si>
  <si>
    <t>Střední odborná škola gastronomie a potravinářství, Jeseník, U Jatek 8 - Rekonstrukce umýváren nového domova mládeže</t>
  </si>
  <si>
    <t>Střední zdravotnická škola a Vyšší odborná škola zdravotnická Emanuela Pöttinga, Olomouc, Pöttingova 2 - Rekonstrukce sociálního zařízení v budově DM</t>
  </si>
  <si>
    <t>VOŠ a SPŠ Šumperk - Kotelna</t>
  </si>
  <si>
    <t>Střední škola technická, Přerov - Sprchy a šatny tělocvičny</t>
  </si>
  <si>
    <t>SOŠ a SOU strojírenské a stavební Jeseník - Výměna výtahu v budově stravování</t>
  </si>
  <si>
    <t>Střední škola sociální péče a služeb, Zábřeh - Výměna rozvodů vody a kanalizace</t>
  </si>
  <si>
    <t>Střední škola polytechnická, Olomouc - Rekonstrukce domova mládeže</t>
  </si>
  <si>
    <t>Střední škola zemědělská, Přerov – Osmek – Vybudování zázemí pro odborný výcvik</t>
  </si>
  <si>
    <t>Střední škola gastronomie a farmářství Jeseník - Odvodnění budovy masné výroby</t>
  </si>
  <si>
    <t>Střední škola gastronomie a farmářství Jeseník - Venkovní kanalizace areálu Horní Heřmanice</t>
  </si>
  <si>
    <t>Gymnázium Šternberk - Úprava školního hřiště a nové oplocení hřiště</t>
  </si>
  <si>
    <t>Střední zdravotnická škola a Vyšší odborná škola zdravotnická Emanuela Pöttinga a Jazyková škola s právem státní jazykové zkoušky Olomouc - Šatny</t>
  </si>
  <si>
    <t>Střední škola a Základní škola prof. Z. Matějčka Olomouc - Stavební úpravy venkovního sportovního areálu Táboritů</t>
  </si>
  <si>
    <t>Obchodní akademie, Olomouc - Elektroinstalace a výměna svítidel</t>
  </si>
  <si>
    <t>Základní umělecká škola Litovel - Rekonstrukce budovy ZUŠ - 1. etapa</t>
  </si>
  <si>
    <t>Základní škola Uničov - Elektroinstalace a výměna svítidel</t>
  </si>
  <si>
    <t>Gymnázium Jeseník - Venkovní hřiště</t>
  </si>
  <si>
    <t>Střední škola gastronomie a farmářství Jeseník - Výstavba jateční pořážky</t>
  </si>
  <si>
    <t>Střední průmyslová škola elektrotechnická, Mohelnice - Stavební úpravy sociálních zařízení</t>
  </si>
  <si>
    <t>Střední průmyslová škola, Přerov, Havlíčkova 2 - výměna oken</t>
  </si>
  <si>
    <t>Gymnázium Jiřího Wolkera Prostějov - Kotelna</t>
  </si>
  <si>
    <t>Gymnázium, Uničov, Gymnazijní 257 – Vzduchotechnika a vytápění tělocvičny</t>
  </si>
  <si>
    <t>SOŠ a SOU strojírenské a stavební Jeseník - Rekonstrukce ploché střechy budovy stravování</t>
  </si>
  <si>
    <t xml:space="preserve">Vincentinum - poskytovatel sociálních služeb Šternberk - Pracovní dílny pro klienty </t>
  </si>
  <si>
    <t>Domov Paprsek Olšany - Půdní vestavba</t>
  </si>
  <si>
    <t>Nový pavilon areálu Domov pro seniory Radkova Lhota</t>
  </si>
  <si>
    <t xml:space="preserve">DD Červenka - Oddělení Litovel </t>
  </si>
  <si>
    <t>Domov pro seniory Červenka - Nadstavba a přístavba hospodářské budovy</t>
  </si>
  <si>
    <t xml:space="preserve">Sociální služby pro seniory Šumperk - Výstavba parkoviště </t>
  </si>
  <si>
    <t>Domov Na zámečku Rokytnice - Výměna elektroinstalace v objektu zámku</t>
  </si>
  <si>
    <t>Domov pro seniory Červenka - Vybudování šaten pro zaměstnance</t>
  </si>
  <si>
    <t>Vincentinum - poskytovatel sociálních služeb Šternberk - Rekonstrukce prostoru na zahradě k volnočasovým aktivitám</t>
  </si>
  <si>
    <t>Domov Paprsek Olšany - Stavební úpravy dvora</t>
  </si>
  <si>
    <t>Domov pro seniory Tovačov - Výměna oken a balkonových dveří</t>
  </si>
  <si>
    <t xml:space="preserve">Domov seniorů POHODA Chválkovice - Stavební úpravy koridoru mezi pavilony A a B </t>
  </si>
  <si>
    <t>Domov Na zámečku Rokytnice - Půdní vestavba</t>
  </si>
  <si>
    <t xml:space="preserve">Centrum sociálních služeb Prostějov - Obvodová zeď </t>
  </si>
  <si>
    <t xml:space="preserve">Domov pro seniory Červenka - Vybudování parkoviště a nové brány </t>
  </si>
  <si>
    <t>Domov Sněženka Jeseník - Dlažba tří balkonů a anglických dvorků</t>
  </si>
  <si>
    <t xml:space="preserve">Středisko sociální prevence Olomouc - Fasáda a zateplení </t>
  </si>
  <si>
    <t>Domov Sněženka Jeseník - Vzduchotechnika kuchyně a prádelny</t>
  </si>
  <si>
    <t>Domov Sněženka Jeseník - Stavební úpravy schodišťových věží</t>
  </si>
  <si>
    <t xml:space="preserve">Klíč – centrum sociálních služeb - Výstavba objektu pro osoby s poruchou autistického spektra </t>
  </si>
  <si>
    <t>Přestavba křižovatky před železničním přejezdem u obce Smržice</t>
  </si>
  <si>
    <t>III/37349 Ptení - obchvat</t>
  </si>
  <si>
    <t>II/150 Vícov - obchvat obce</t>
  </si>
  <si>
    <t>II/150, II/433, II/37766 Prostějov, okružní křižovatka Poděbradovo náměstí</t>
  </si>
  <si>
    <t>OLÚ neurologicko-geriatrický Moravský Beroun - úpravy ploch kolem pavilonu 2</t>
  </si>
  <si>
    <t>ZZS OK -  VZ Šumperk - oprava potrubí SUV, TUV a sociálních zařízení v I. a II. NP</t>
  </si>
  <si>
    <t>OLÚ Paseka -Budova "C" I. etapa, část II. - nástavba o 4. NP a rekonstrukce 3.NP</t>
  </si>
  <si>
    <t>6. Investiční výdaje odborů</t>
  </si>
  <si>
    <t>a) akce zajišťované odborem investic a odborem strategického rozvoje kraje</t>
  </si>
  <si>
    <t>Realizace energeticky úsporných opatření - SPŠ Hranice</t>
  </si>
  <si>
    <t>Střední zdravotnická škola a Vyšší odborná škola zdravotnická Emanuela Pöttinga, Olomouc, Pöttingova 2 - Balkony a zateplení budovy DM</t>
  </si>
  <si>
    <t>Realizace energeticky úsporných opatření – OU a praktická škola Lipová - lázně</t>
  </si>
  <si>
    <t>ORJ 52, UZ 88x</t>
  </si>
  <si>
    <t>ORJ 52, UZ 891</t>
  </si>
  <si>
    <t>Hotelová škola Vincenze Priessnitze, Jeseník, Dukelská 680 - Zateplení budovy Kord a) zateplení</t>
  </si>
  <si>
    <t>Střední škola gastronomie a farmářství Jeseník - Tělocvična</t>
  </si>
  <si>
    <t>Střední škola logistiky a chemie, Olomouc, U Hradiska 29 - Zateplení budovy školy a) zateplení</t>
  </si>
  <si>
    <t>Dětský domov a Školní jídelna, Olomouc, U Sportovní haly 1a - Zateplení budovy a lodžie</t>
  </si>
  <si>
    <t>Základní umělecká škola  Iši Krejčího Olomouc, Na Vozovce 32 - Výměna oken a zateplení pláště budov a) zateplení</t>
  </si>
  <si>
    <t>Realizace energeticky úsporných opatření – SŠ technická a zemědělská Mohelnice a) zateplení</t>
  </si>
  <si>
    <t>Realizace energeticky úsporných opatření – Gymnázium J. Blahoslava a SŠ pedagogická Přerov</t>
  </si>
  <si>
    <t>Realizace energeticky úsporných opatření – SOŠ lesnická Šternberk</t>
  </si>
  <si>
    <t>Realizace energeticky úsporných opatření  – SOŠ Šumperk, Zemědělská 3 - tělocvična</t>
  </si>
  <si>
    <t>Realizace energeticky úsporných opatření - SPŠ elektrotechnická Mohelnice - škola, dílny a) zateplení</t>
  </si>
  <si>
    <t>Realizace energeticky úsporných opatření - Sš, ZŠ a MŠ Prostějov - budova MŠ, ul. St. Manharda a) zateplení</t>
  </si>
  <si>
    <t>Realizace energeticky úsporných opatření - SOŠ lesnická a strojírenská Šternberk - domov mládeže</t>
  </si>
  <si>
    <t>Střední škola řezbářská, Tovačov, Nádražní 146 – Centrum odborné přípravy pro obory řezbářství</t>
  </si>
  <si>
    <t>Střední škola technická a obchodní, Olomouc, Kosinova 4 – Centrum odborné přípravy technických oborů (COPTO)</t>
  </si>
  <si>
    <t>Švehlova střední škola polytechnická Prostějov – Centrum odborné přípravy pro obory polytechnického zaměření</t>
  </si>
  <si>
    <t xml:space="preserve">Nákup vybavení – plošina pro práci ve výškách, panely elektropneumatiky“ (Střední škola elektrotechnická, Lipník nad Bečvou, Tyršova 781) </t>
  </si>
  <si>
    <t>Nákup CNC dřevoobráběcího centra“ (Švehlova střední škola polytechnická Prostějov)</t>
  </si>
  <si>
    <t>Obec Měrotín</t>
  </si>
  <si>
    <t>8348</t>
  </si>
  <si>
    <t>Klíč - centrum sociálních služeb - rekonstrukce denního stacionáře Domino, Selské náměstí</t>
  </si>
  <si>
    <t>101009</t>
  </si>
  <si>
    <t>OJR 52, UZ 11</t>
  </si>
  <si>
    <t>ORJ 52, UZ 891/892</t>
  </si>
  <si>
    <t>Transformace příspěvkové organizace Nové Zámky – II. Etapa</t>
  </si>
  <si>
    <t>Transformace příspěvkové organizace Nové Zámky – poskytovatel sociálních služeb - III. Etapa</t>
  </si>
  <si>
    <t>Transformace příspěvkové organizace Nové Zámky – poskytovatel sociálních služeb - IV. Etapa</t>
  </si>
  <si>
    <t>Muzeum Komenského v Přerově – Záchrana a zpřístupnění paláce na hradě Helfštýn</t>
  </si>
  <si>
    <t>ORJ 52, UZ 13/88x</t>
  </si>
  <si>
    <t>ORJ 52, UZ 89x</t>
  </si>
  <si>
    <t>Realizace depozitáře pro Vědeckou knihovnu v Olomouci</t>
  </si>
  <si>
    <t>Muzeum Komenského v Přerově - rekonstrukce budovy</t>
  </si>
  <si>
    <t>Muzeum Komenského v Přerově – rekonstrukce budovy ORNIS</t>
  </si>
  <si>
    <t>ORJ 52, UZ 13</t>
  </si>
  <si>
    <t>Ohrozim - obchvat</t>
  </si>
  <si>
    <t>Prostějov - přeložka silnice II/366 od Tesca</t>
  </si>
  <si>
    <t>Mohelnice - křížení s železniční tratí</t>
  </si>
  <si>
    <t>Ostružná - Branná - rekonstrukce komunikace</t>
  </si>
  <si>
    <t>II/433 Prostějov - Mořice</t>
  </si>
  <si>
    <t>ORJ 50, UZ 12/88x</t>
  </si>
  <si>
    <t>ORJ 50, UZ 89x</t>
  </si>
  <si>
    <t>II/449 MÚK Unčovice - Litovel</t>
  </si>
  <si>
    <t>II/Uničov - Strukov</t>
  </si>
  <si>
    <t>II/150 Prostějov - Přerov</t>
  </si>
  <si>
    <t>II/570 Slatinice - Olomouc</t>
  </si>
  <si>
    <t>II/447 Strukov - Šternberk</t>
  </si>
  <si>
    <t>II/444 kř. R35 Mohelnice - Úsov</t>
  </si>
  <si>
    <t>ORJ 50, UZ 891/892</t>
  </si>
  <si>
    <t>ORJ 50, UZ 110595823</t>
  </si>
  <si>
    <t>Šternberk - průtah</t>
  </si>
  <si>
    <t>II/150 hr. kraje - Prostějov</t>
  </si>
  <si>
    <t>OJR 50, UZ 12</t>
  </si>
  <si>
    <t>II/150 Přerov - jihozápadní obchvat, přeložka</t>
  </si>
  <si>
    <t>Informační systém dopravy Olomouckého kraje (IDSOK)</t>
  </si>
  <si>
    <t>ORJ 59, UZ 880</t>
  </si>
  <si>
    <t>Správa silnic Olomouckého kraje, p. o. - II/449 křiž. II/366 – MÚK Unčovice</t>
  </si>
  <si>
    <t>ORJ 12, UZ 880</t>
  </si>
  <si>
    <t>ORJ 12, UZ 89x</t>
  </si>
  <si>
    <t>Správa silnic Olomouckého kraje, p. o. - II/448 Drahanovice - Olomouc</t>
  </si>
  <si>
    <t>ZZS OK - Výjezdové stanoviště Konice - zateplení budovy</t>
  </si>
  <si>
    <t>Dětské centrum Ostrůvek - Zateplení budovy a střechy objektu D, Mošnerova 1 a) zateplení</t>
  </si>
  <si>
    <t>ZZS OK - Výstavba nových výjezdových základen - Uničov</t>
  </si>
  <si>
    <t>ZZS OK - Výstavba nových výjezdových základen – Šternberk</t>
  </si>
  <si>
    <t>ZZS OK - Výstavba nových výjezdových základen – Zábřeh</t>
  </si>
  <si>
    <t>ZZS OK - Výstavba nových výjezdových základen – Jeseník</t>
  </si>
  <si>
    <t>ORJ 59, UZ 88x</t>
  </si>
  <si>
    <t>ORJ 59, UZ 891</t>
  </si>
  <si>
    <t xml:space="preserve">Fall prevention project DOREEN </t>
  </si>
  <si>
    <t>Obnova vodního systému parku OLÚ Paseka</t>
  </si>
  <si>
    <t>Úprava sluneční louky OLÚ Paseka</t>
  </si>
  <si>
    <t>Obnova zahrady Zdravotnického zařízení v Moravském Berouně</t>
  </si>
  <si>
    <t xml:space="preserve">Česko-polská Hřebenovká – východní část </t>
  </si>
  <si>
    <t>Mobilní průvodce Olomouckým krajem a Opolským vojvodstvím</t>
  </si>
  <si>
    <t>ORJ 59, UZ 17055</t>
  </si>
  <si>
    <t>ZZS OK – Modernizace, budování a rozvoj informačních a komunikačních systémů</t>
  </si>
  <si>
    <t>Specifické informační systémy Krajského úřadu Olomouckého kraje</t>
  </si>
  <si>
    <t xml:space="preserve"> - SMN</t>
  </si>
  <si>
    <t>odbor kancelář hejtmana</t>
  </si>
  <si>
    <t>UZ 153</t>
  </si>
  <si>
    <t>Most ev. Č. 644-007 Újezd u Mohelnice</t>
  </si>
  <si>
    <t>ORJ 12, UZ 107117968, 107517969</t>
  </si>
  <si>
    <t>Nová silnice + nový most Rejvíz Jeseník</t>
  </si>
  <si>
    <t>II/440 Moravský Beroun - hranice voj. Újezdu</t>
  </si>
  <si>
    <t>III/4436 Olomouc - ul. Hamerská</t>
  </si>
  <si>
    <t>III/43321 Měrovice - Hruška</t>
  </si>
  <si>
    <t>III/0555 Přerov, ul. 9. května</t>
  </si>
  <si>
    <t>most ev. č. 36719-2 Dobromilice</t>
  </si>
  <si>
    <t>most ev. č. 43718-3 Šišma</t>
  </si>
  <si>
    <t>most ev. č. 43415-3 Prosenice</t>
  </si>
  <si>
    <t>II/315 Zábřeh - ul. Sušilova</t>
  </si>
  <si>
    <t>III/4368 Tršice - Lazníky</t>
  </si>
  <si>
    <t>II/433 Mořice - průtah</t>
  </si>
  <si>
    <t>II/377 Niva - hranice kraje</t>
  </si>
  <si>
    <t>III/5704 Nedvězí - Bystročice</t>
  </si>
  <si>
    <t>III/31233 Jakubovice</t>
  </si>
  <si>
    <t>most ev. č. 446-053 Staré Město</t>
  </si>
  <si>
    <t>most ev. č. 446-048 Chrastice</t>
  </si>
  <si>
    <t>most ev. č. 446-049 Chrastice</t>
  </si>
  <si>
    <t>most ev. č. 370-004 Brníčko</t>
  </si>
  <si>
    <t>II/369 Horní Lipová - opěrná zeď</t>
  </si>
  <si>
    <t>II/369 Ostružná - Branná</t>
  </si>
  <si>
    <t>II/445 Šternberk - Hlásnice</t>
  </si>
  <si>
    <t>III/37762 Domamyslice - křižovatka III/37760 extravilán + III/37760 od křižovatky III/37762 po křižovatku II/366 extravilán</t>
  </si>
  <si>
    <t>III/37752 a III/37754 Kostelec n. H. - Lešany - Zdětín - Ptení</t>
  </si>
  <si>
    <t>III/3677 most ev. č. 3677-1 Bedihošť</t>
  </si>
  <si>
    <t>III/44417 most ev. Č. 44417-4 Paseka</t>
  </si>
  <si>
    <t>III/4388 Býskovice - Horní Újezd</t>
  </si>
  <si>
    <t>II/438 Opatovice - Býškovice</t>
  </si>
  <si>
    <t>III/4353 Kocanda - Blatec - hranice okr. PV</t>
  </si>
  <si>
    <t>III/37320 Bouzov - Podolí - Olešnice</t>
  </si>
  <si>
    <t>III/44317 Hlubočky - Hrubá Voda</t>
  </si>
  <si>
    <t>II/444 most ev. č. 444-045 Libavá</t>
  </si>
  <si>
    <t>PO - SFDI, PD</t>
  </si>
  <si>
    <t>PO - SFDI, REALIZACE</t>
  </si>
  <si>
    <t>III/37763 Vranovice - Vincencov - včetně napojení na III/377762 a III/37764</t>
  </si>
  <si>
    <t>III/44926 Čelechovice - Kostelec n.H.</t>
  </si>
  <si>
    <t>II/369 Branná - směrová úprava</t>
  </si>
  <si>
    <t>úprava nádvoří a park. ploch cestmistr. JE</t>
  </si>
  <si>
    <t>most ev.č. 44932- 2A Držovice</t>
  </si>
  <si>
    <t>křižovatka II/635 křižovatka III/4441 Litovel</t>
  </si>
  <si>
    <t>křižovatka II/366 - MÚK Unčovice</t>
  </si>
  <si>
    <t>III/4576 Velká Kraš - křižovatka se silnicí II/457</t>
  </si>
  <si>
    <t>dofinancování projektové dokumentace na akci II/377 Niva - hranice kraje</t>
  </si>
  <si>
    <t>částečné dofinancování projektové dokumentace na akci III/444, III/44410, III/44414, III/44412, III/4494 Medlov - průtah</t>
  </si>
  <si>
    <t>nákup sypačů</t>
  </si>
  <si>
    <t>III/44624 Uničov, ul. Stromořadí</t>
  </si>
  <si>
    <t>II/448 Olomouc, ul. Tř. Míru</t>
  </si>
  <si>
    <t xml:space="preserve">II/377 Žárovice </t>
  </si>
  <si>
    <t>III/43716 a III/43718 Hradčany</t>
  </si>
  <si>
    <t>III/4477 Štěpánov, místní část Stádlo</t>
  </si>
  <si>
    <t>III/37311 Měrotín</t>
  </si>
  <si>
    <t>PO, NEINV.</t>
  </si>
  <si>
    <t>ORJ 52, UZ 35672</t>
  </si>
  <si>
    <t>Zastupitelé</t>
  </si>
  <si>
    <t>Čechy pod Kosířem - Rekonstrukce a využití objektů, 2. etapa</t>
  </si>
  <si>
    <t>Muzeum a galerie  v Prostějově - Červený domek Petra Bezruče v Kostelci na Hané</t>
  </si>
  <si>
    <t>Zámek Čechy pod Kosířem - rekonstrukce a využití objektů, V. etapa</t>
  </si>
  <si>
    <t>Zámek Čechy pod Kosířem - Stavební úpravy objektu správy areálu</t>
  </si>
  <si>
    <t>Vlastivědné muzeum v Olomouci - Rekonstrukce krovů v budově VMO a oprava římsy nad parkánem</t>
  </si>
  <si>
    <t xml:space="preserve">Vlastivědné muzeum v Olomouci - kotelna </t>
  </si>
  <si>
    <t xml:space="preserve">Vědecká knihovna v Olomouci -  kotelna </t>
  </si>
  <si>
    <t>Vědecká knihovna v Olomouci - stavební úpravy objektu Červeného kostela</t>
  </si>
  <si>
    <t xml:space="preserve">Muzeum a galerie v Prostějově - Přístavba depozitáře </t>
  </si>
  <si>
    <t xml:space="preserve">Vědecká knihovna v Olomouci - Výměna nákladního výtahu </t>
  </si>
  <si>
    <t>Vlastivědné muzeum v Olomouci - Revitalizace vodních prvků v zámeckém parku Čechy pod Kosířem</t>
  </si>
  <si>
    <t xml:space="preserve">Vlastivědné muzeum Jesenicka - Expozice Vincenze Priessnitze </t>
  </si>
  <si>
    <t xml:space="preserve"> - Digitalizace Olomouc region Card</t>
  </si>
  <si>
    <t>Orj 18</t>
  </si>
  <si>
    <t xml:space="preserve"> - Nákup osobních automobilů</t>
  </si>
  <si>
    <t xml:space="preserve"> - SW na povodně</t>
  </si>
  <si>
    <t xml:space="preserve"> - Digitální archiv dokumentů aplikace IntraDoc</t>
  </si>
  <si>
    <t xml:space="preserve"> - Kontejner energetické centrum</t>
  </si>
  <si>
    <t xml:space="preserve"> - cisternová automobilová stříkačka ve speciálním  technickém provedení pro HZS Olomouckého kraje </t>
  </si>
  <si>
    <t xml:space="preserve"> - nákup licencí produktů vSphere a vCenter</t>
  </si>
  <si>
    <t xml:space="preserve"> - instalace nové klimatizace v 10. NP, centrálního řízení vzduchotechniky a vytápění, pořízení systému generálního klíče v centrální spisovně KÚOK na Trocnovské ulici v Olomouci a přístřešku na terase v 10. NP</t>
  </si>
  <si>
    <t xml:space="preserve"> - pořízení nové elektronické úřední desky a skenovacího stroje</t>
  </si>
  <si>
    <t xml:space="preserve"> - pořízení služebních vozidel</t>
  </si>
  <si>
    <t xml:space="preserve"> - diskové pole, centrální přepínač, videokonferenční systém</t>
  </si>
  <si>
    <t>odbor ekonomický</t>
  </si>
  <si>
    <t xml:space="preserve"> - rezerva na investice</t>
  </si>
  <si>
    <t>Rezerva na přípravu projektů</t>
  </si>
  <si>
    <t>Mateřská škola Olomouc, Blanická 16 - Oprava WC</t>
  </si>
  <si>
    <t xml:space="preserve">Střední škola a Základní škola prof. Z. Matějčka Olomouc, Svatoplukova 11 - Oprava tělocvičny Táboritů 25 </t>
  </si>
  <si>
    <t>Základní škola Uničov, Šternberská 456 - Oprava brány</t>
  </si>
  <si>
    <t>Střední škola a Základní škola Lipník nad Bečvou, Osecká 301 - Oprava oplocení</t>
  </si>
  <si>
    <t>Střední škola, Základní škola, Mateřská škola a Dětský domov Zábřeh - Oprava střechy DD Štíty</t>
  </si>
  <si>
    <t>Gymnázium, Olomouc - Hejčín, Tomkova 45 - Oprava výtahu na budově B - havarijní stav</t>
  </si>
  <si>
    <t>Gymnázium, Olomouc - Hejčín, Tomkova 45 - Výměna oken pod terasou na budově B</t>
  </si>
  <si>
    <t>Gymnázium, Olomouc - Hejčín, Tomkova 45 - Výměna oken ve velké tělocvičně</t>
  </si>
  <si>
    <t>Gymnázium, Olomouc - Hejčín, Tomkova 45 - Oprava střech tělocvičen na budově B</t>
  </si>
  <si>
    <t xml:space="preserve">Gymnázium, Šternberk, Horní náměstí 5 - výměna střešní krytiny </t>
  </si>
  <si>
    <t>Gymnázium Jeseník Komenského 281  Jeseník - Sociální zařízení pavilonu 1. patro</t>
  </si>
  <si>
    <t>Gymnázium Jeseník Komenského 281  Jeseník - Výměna podlahové krytiny</t>
  </si>
  <si>
    <t>Střední odborná škola průmyslová a Střední odborné učiliště strojírenské, Prostějov, Lidická 4 - Výměna oken na dílnách Wolkerova 24, Prostějov</t>
  </si>
  <si>
    <t>Střední průmyslová škola stavební, Lipník nad Bečvou - Oprava podlahy v tělocvičně</t>
  </si>
  <si>
    <t>Střední lesnická škola, Hranice, Jurikova  588  - Oprava venkovní kanalizace a následná úprava dvoru</t>
  </si>
  <si>
    <t>Střední lesnická škola, Hranice, Jurikova  588  - Oprava plochých střech</t>
  </si>
  <si>
    <t>Vyšší odborná škola a Střední průmyslová škola, Šumperk, Gen. Krátkého 1 - Výměna osvětlení hlavní budovy školy</t>
  </si>
  <si>
    <t>Vyšší odborná škola a Střední škola automobilní, Zábřeh, U Dráhy 6 - Oprava kotelny dílen OV (U Dráhy 6)</t>
  </si>
  <si>
    <t xml:space="preserve">Vyšší odborná škola a Střední škola automobilní, Zábřeh, U Dráhy 6 - Oprava osvětlení dílen OV </t>
  </si>
  <si>
    <t>Střední odborná škola, Šumperk, Zemědělská 3 - Odkup transformátoru a technickou i stavební úpravu stávající trafostanice</t>
  </si>
  <si>
    <t>Střední odborná škola, Šumperk, Zemědělská 3 - Oprava podlahy na pokojích domova mládeže</t>
  </si>
  <si>
    <t>Střední odborná škola, Šumperk, Zemědělská 3 - Oprava sociálek na domově mládeže</t>
  </si>
  <si>
    <t>Střední škola železniční, technická a služeb, Šumperk - Výměna oken - budova odloučeného pracoviště OP 05 Rapotín</t>
  </si>
  <si>
    <t>Střední zdravotnická škola a Vyšší odborná škola zdravotnická Emanuela Pöttinga a Jazyková škola s právem státní jazykové zkoušky Olomouc - Výměna kanalizačních a vodovodních potrubí budov Pöttingova - část 3</t>
  </si>
  <si>
    <t>Střední zdravotnická škola a Vyšší odborná škola zdravotnická Emanuela Pöttinga a Jazyková škola s právem státní jazykové zkoušky Olomouc - Oprava střechy nad tělocvičnou školy</t>
  </si>
  <si>
    <t>Střední zdravotnická škola a Vyšší odborná škola zdravotnická Emanuela Pöttinga a Jazyková škola s právem státní jazykové zkoušky Olomouc - výměna kanalizačních a vodovodních potrubí budov Pöttingova - část 2</t>
  </si>
  <si>
    <t>Střední škola technická Přerov, Kouřilkova 8 Přerov - Systém MaR</t>
  </si>
  <si>
    <t>Střední odborná škola Prostějov - Nátěr a oprava střechy</t>
  </si>
  <si>
    <t>Střední škola sociální péče a služeb, Zábřeh, nám. 8. května 2 - Oprava střešní krytiny a venkovního zdiva</t>
  </si>
  <si>
    <t>Dětský domov a Školní jídelna, Olomouc, U Sportovní haly 1a - Oprava výtahu-elektromodernizační balík</t>
  </si>
  <si>
    <t>Dětský domov a Školní jídelna, Olomouc, U Sportovní haly 1a - výměna vodovodních stupaček a potrubí - 2. etapa</t>
  </si>
  <si>
    <t>Dětský domov a Školní jídelna, Plumlov, Balkán 333 - Elektroinstalace - 2. etapa</t>
  </si>
  <si>
    <t>Domov Sněženka Jeseník, příspěvková organizace - Oprava chodbové dlažby IV. NP</t>
  </si>
  <si>
    <t>Domov pro seniory Červenka, příspěvková organizace - Malování a nátěry ve vnitřních prostorách domova</t>
  </si>
  <si>
    <t>Domov seniorů POHODA Chválkovice, příspěvková organizace - Oprava zábradlí v pavilonu A na odděleních 1,2,4 a 5</t>
  </si>
  <si>
    <t>Domov seniorů POHODA Chválkovice, příspěvková organizace - Oprava a předláždění chodníků od vrátnice k pavilonu A</t>
  </si>
  <si>
    <t>Domov seniorů POHODA Chválkovice, příspěvková organizace - Inovace aktivních prvků ve výměníkové stanici</t>
  </si>
  <si>
    <t>Domov seniorů POHODA Chválkovice, příspěvková organizace - Repas plastových oken. Žaluzií a okenních sítí</t>
  </si>
  <si>
    <t>Domov seniorů POHODA Chválkovice, příspěvková organizace - Malování provozních místností a stravovacího provozu</t>
  </si>
  <si>
    <t>Domov seniorů POHODA Chválkovice, příspěvková organizace - Malování pokojů v pavilonu C a stravovací provoz</t>
  </si>
  <si>
    <t xml:space="preserve"> - Výmalba kanceláří, obytných jednotek chráněného bydlení, jídelny, vestibulu, šaten, chodeb, prádelny a mandlovny, kolárny, strojovnySociální služby pro seniory Olomouc, příspěvková organizace</t>
  </si>
  <si>
    <t>Klíč - centrum sociálních služeb, příspěvková organizace - Oprava nábytku v bytových jednotkách chráněného bydlení Domov</t>
  </si>
  <si>
    <t>Nové Zámky - poskytovatel sociálních služeb, příspěvková organizace - Oprava maleb v budovách PO Nové Zámky - poskytovatel sociálních služeb</t>
  </si>
  <si>
    <t>Sociální služby pro seniory Šumperk, příspěvková organizace - Oprava fasády kotelny - nový nátěr</t>
  </si>
  <si>
    <t>Sociální služby pro seniory Šumperk, příspěvková organizace - Výměna oken na Penzionu chráněného bydlení Vančurova 37, Šumperk</t>
  </si>
  <si>
    <t>Sociální služby pro seniory Šumperk, příspěvková organizace - Malování a nátěry dveří</t>
  </si>
  <si>
    <t>Sociální služby pro seniory Šumperk, příspěvková organizace - Výměna podlahové krytiny ve spojovacím krčku mezi hospodářským a obytným pavilonem II.</t>
  </si>
  <si>
    <t>Domov Štíty - Jedlí, příspěvková organizace - Oprava centrální koupelny - Štíty</t>
  </si>
  <si>
    <t>Domov Štíty - Jedlí, příspěvková organizace - Oprava centrální koupelny I. patro Štíty</t>
  </si>
  <si>
    <t>Domov Štíty - Jedlí, příspěvková organizace - Oprava výtahu Štíty</t>
  </si>
  <si>
    <t>Domov Paprsek Olšany, příspěvková organizace - Vodovodní řád</t>
  </si>
  <si>
    <t>1650</t>
  </si>
  <si>
    <t>Domov pro seniory Jesenec, příspěvková organizace - Klimatizace - III. budova č. p. 109</t>
  </si>
  <si>
    <t>1653</t>
  </si>
  <si>
    <t>Centrum sociálních služeb Prostějov, příspěvková organizace - Výměna oken a vstupních dveří SO-19</t>
  </si>
  <si>
    <t>Centrum sociálních služeb Prostějov, příspěvková organizace - Výměna oken, vnitřní a vnější stavební úpravy SO-14</t>
  </si>
  <si>
    <t>Centrum sociálních služeb Prostějov, příspěvková organizace - Oprava dvou kusů teplovodních kotlů Viadrus G300</t>
  </si>
  <si>
    <t>Centrum sociálních služeb Prostějov, příspěvková organizace - Oprava střech SO-12 a SO-10</t>
  </si>
  <si>
    <t xml:space="preserve"> - obklady chodba + pokoje 1. p. hlavníDomov pro seniory Radkova Lhota, příspěvková organizace</t>
  </si>
  <si>
    <t>Domov pro seniory Radkova Lhota, příspěvková organizace - Fasáda společenský dům</t>
  </si>
  <si>
    <t>Domov pro seniory Radkova Lhota, příspěvková organizace - oprava koupelny 1p. HB</t>
  </si>
  <si>
    <t>Domov pro seniory Radkova Lhota, příspěvková organizace - Malování</t>
  </si>
  <si>
    <t>Domov Alfreda Skeneho Pavlovice u Přerova, příspěvková organizace - Malování pokojů uživatelů</t>
  </si>
  <si>
    <t>1658</t>
  </si>
  <si>
    <t>Domov Větrný mlýn Skalička, příspěvková organizace - Oprava příjezdové komunikace</t>
  </si>
  <si>
    <t>Domov Na zámečku Rokytnice, příspěvková organizace - Nátěr konstrukce zámeckého skleníku</t>
  </si>
  <si>
    <t>Domov Na zámečku Rokytnice, příspěvková organizace - Oprava omítek a podlah zahradních garáží</t>
  </si>
  <si>
    <t>Domov Na zámečku Rokytnice, příspěvková organizace - Nátěry oken</t>
  </si>
  <si>
    <t>Domov Na zámečku Rokytnice, příspěvková organizace - Údržba parkové zeleně</t>
  </si>
  <si>
    <t xml:space="preserve">Vlastivědné muzeum v Olomouci - Oprava dřevěné lávky v ABL </t>
  </si>
  <si>
    <t>Muzeum a galerie v Prostějově, příspěvková organizace - Rekonstrukce osvětlení výstavních sálů</t>
  </si>
  <si>
    <t>Muzeum Komenského v Přerově, příspěvková organizace - Sanace zdiva okružní hradby na hradě Helfštýně 4. etapa</t>
  </si>
  <si>
    <t>Muzeum Komenského v Přerově, příspěvková organizace - Výměna oken do náměstí domu Horní náměstí č.p. 35, Přerov</t>
  </si>
  <si>
    <t>Odborný léčebný ústav Paseka, příspěvková organizace - Oprava dláždění ve dvoře v Pasece</t>
  </si>
  <si>
    <t>Zdravotnická záchranná alužba Olomouckého kraje, příspěvková organizace - Oprava potrubí SUV, TUV a sociálního zařízení v I. a II. NP VZ Hněvotínská, Olomouc</t>
  </si>
  <si>
    <t>Zdravotnická záchranná alužba Olomouckého kraje, příspěvková organizace - Oprava asfaltové plochy před garážemi ZZS OK na ulici Aksamitova Olomouc</t>
  </si>
  <si>
    <t>ORJ 19, UZ 10, POL 5331</t>
  </si>
  <si>
    <t>PO, UZ 11, POL 5331</t>
  </si>
  <si>
    <t>Základní škola Uničov, Šternberská 456 - Rekonstrukce střešní krytiny</t>
  </si>
  <si>
    <t>Základní škola Uničov, Šternberská 456 - Rekonstrukce vstupního prostoru</t>
  </si>
  <si>
    <t>Základní škola Uničov, Šternberská 456 - Havarijní stav podlahy dílny</t>
  </si>
  <si>
    <t>Základní škola, Dětský domov a Školní jídelna Litovel - Auto 7místné</t>
  </si>
  <si>
    <t>ORJ 19, UZ 10, POL 6351</t>
  </si>
  <si>
    <t>Základní škola a Mateřská škola Hranice, Nová 1820 Hranice - Stavební úpravy školy</t>
  </si>
  <si>
    <t>Střední škola, Základní škola a Mateřská škola Šumperk, Hanácká 3 - Stavební úpravy kanceláře</t>
  </si>
  <si>
    <t>Střední škola, Základní škola, Mateřská škola a Dětský domov Zábřeh - Oprava elektroinstalace - projekt</t>
  </si>
  <si>
    <t xml:space="preserve"> - Zakoupení automobiluStřední škola, Základní škola, Mateřská škola a Dětský domov Zábřeh</t>
  </si>
  <si>
    <t>Střední škola, Základní škola, Mateřská škola a Dětský domov Zábřeh - Nákup automobilu</t>
  </si>
  <si>
    <t>Gymnázium, Olomouc, Čajkovského 9 - Výměna svítidel ve sportovní hale</t>
  </si>
  <si>
    <t>Gymnázium, Olomouc, Čajkovského 9 - Modernizace sportovní haly</t>
  </si>
  <si>
    <t>Gymnázium, Olomouc - Hejčín, Tomkova 45 - Konvektomat – jídelna, havarijní stav</t>
  </si>
  <si>
    <t>Gymnázium, Olomouc - Hejčín, Tomkova 45 - Software havárie</t>
  </si>
  <si>
    <t>Gymnázium, Šternberk, Horní náměstí 5 - Sanace tělocvičny školy</t>
  </si>
  <si>
    <t>Vyšší odborná škola a Střední průmyslová škola elektrotechnická, Olomouc, Božetěchova 3 - Instalace táhlového otevírání oken</t>
  </si>
  <si>
    <t>Vyšší odborná škola a Střední průmyslová škola elektrotechnická, Olomouc, Božetěchova 3 - Vytvoření schémat zapojení rozvaděčů certifikovaných revizním technikem</t>
  </si>
  <si>
    <t>Střední průmyslová škola, Hranice - Osvětlení ve třídách školy</t>
  </si>
  <si>
    <t>Střední škola zemědělská Přerov, Osmek 47 - Kruhová dráha pro výcvik koní</t>
  </si>
  <si>
    <t>Střední škola zemědělská Přerov, Osmek 47 - Zakoupení nového konvektomatu včetně digestoře</t>
  </si>
  <si>
    <t>Střední škola zemědělská Přerov, Osmek 47 - Dokončení výcvikového prostředí pro koně</t>
  </si>
  <si>
    <t>Střední průmyslová škola elektrotechnická, Mohelnice, Gen. Svobody 2 - Stavba oplocení a terénní úpravy po demolici objektů</t>
  </si>
  <si>
    <t>Střední odborná škola, Šumperk, Zemědělská 3 - Výměna konvektomatu</t>
  </si>
  <si>
    <t>SOŠ a SOU strojírenské a stavební, Jeseník, Dukelská 1240 - Varný elektrický kotel 200 litr. do školní kuchyně</t>
  </si>
  <si>
    <t>Obchodní akademie, Mohelnice, Olomoucká 82 - Konvektomat do školní kuchyně</t>
  </si>
  <si>
    <t>Střední zdravotnická škola a Vyšší odborná škola zdravotnická Emanuela Pöttinga a Jazyková škola s právem státní jazykové zkoušky Olomouc - Havárie systému MaR</t>
  </si>
  <si>
    <t>Střední zdravotnická škola a Vyšší odborná škola zdravotnická Emanuela Pöttinga a Jazyková škola s právem státní jazykové zkoušky Olomouc - Elektrická pánev - 80 l</t>
  </si>
  <si>
    <t>Střední zdravotnická škola a Vyšší odborná škola zdravotnická Emanuela Pöttinga a Jazyková škola s právem státní jazykové zkoušky Olomouc výměna zdroje tepla objektu domova mládeže, souvisí se schválenou investiční žádankou 2017/00013 - Havárie systému MaR</t>
  </si>
  <si>
    <t>Střední zdravotnická škola a Vyšší odborná škola zdravotnická Emanuela Pöttinga a Jazyková škola s právem státní jazykové zkoušky Olomouc - Univerzální šlehací nástroj</t>
  </si>
  <si>
    <t>Střední zdravotnická škola, Hranice - Stavební úpravy prostor školy</t>
  </si>
  <si>
    <t>Střední zdravotnická škola, Hranice - Instalace stropních topních panelů</t>
  </si>
  <si>
    <t>Střední zdravotnická škola, Hranice - Rozvody počítačových sítí a internetu</t>
  </si>
  <si>
    <t>Střední zdravotnická škola, Hranice - Vybavení školní výdejny</t>
  </si>
  <si>
    <t>Střední zdravotnická škola, Hranice - Evidenční technika do školní výdejny</t>
  </si>
  <si>
    <t>Střední odborná škola Litovel, Komenského 677 - Rekonstrukce elektroinstalace DM</t>
  </si>
  <si>
    <t>Střední odborná škola Litovel, Komenského 677 - Varný kotel</t>
  </si>
  <si>
    <t>Střední odborná škola Litovel, Komenského 677 - Elektroinstalace domov mládeže</t>
  </si>
  <si>
    <t>Střední odborná škola obchodu a služeb, Olomouc, Štursova 14 - Pořízení plynového kotle do školní kuchyně</t>
  </si>
  <si>
    <t>Střední odborná škola obchodu a služeb, Olomouc, Štursova 14 - Nákup automobilu</t>
  </si>
  <si>
    <t>Střední odborná škola lesnická a strojírenská Šternberk - Vybavení vývařovny – varný plynový kotel</t>
  </si>
  <si>
    <t>Střední odborná škola lesnická a strojírenská Šternberk - Elektrická pánev</t>
  </si>
  <si>
    <t xml:space="preserve">Střední odborná škola Prostějov - Odvlhčení základů budovy školy </t>
  </si>
  <si>
    <t xml:space="preserve">Odborné učiliště a Základní škola, Křenovice - Pořízení ojetého dodávkového vozidla </t>
  </si>
  <si>
    <t>Odborné učiliště a Základní škola, Křenovice - Kanalizace</t>
  </si>
  <si>
    <t>Střední škola sociální péče a služeb, Zábřeh, nám. 8. května 2 - Konvektomat pro ŠJ</t>
  </si>
  <si>
    <t>Střední škola sociální péče a služeb, Zábřeh, nám. 8. května 2 - Automobil pro autoškolu</t>
  </si>
  <si>
    <t>Odborné učiliště a Praktická škola, Lipová-lázně 458 -Výměna technologie výtahu budova "A"</t>
  </si>
  <si>
    <t>Střední škola gastronomie a farmářství Jeseník - Nákup trenažérů pro výuku autoškoly skupiny B</t>
  </si>
  <si>
    <t xml:space="preserve">Střední škola gastronomie a farmářství Jeseník - Pořízení zrací skříně pro zajištění výuky OV </t>
  </si>
  <si>
    <t>Střední škola gastronomie a farmářství Jeseník - Rekonstrukce kovárny</t>
  </si>
  <si>
    <t>Střední škola gastronomie a farmářství Jeseník - Nákup chladících  vitrín</t>
  </si>
  <si>
    <t>Základní umělecká škola  Iši Krejčího Olomouc, Na Vozovce 32 - Oplocení části pozemku hl. budovy Na Vozovce 32, Olomouc</t>
  </si>
  <si>
    <t>Dětský domov a Školní jídelna, Olomouc, U Sportovní haly 1a - Nákup elektrického sporáku</t>
  </si>
  <si>
    <t>Dětský domov a Školní jídelna, Plumlov, Balkán 333 - Nákup automobilu</t>
  </si>
  <si>
    <t>Dětský domov a Školní jídelna Hranice, Purgešova 847  - Zabezpečení ochrany dětského domova</t>
  </si>
  <si>
    <t>Dětský domov a Školní jídelna Hranice, Purgešova 847  - Zasíťování domova</t>
  </si>
  <si>
    <t>Dětský domov a Školní jídelna, Černá Voda - Konvektomat</t>
  </si>
  <si>
    <t>PO, UZ 11, POL 6351</t>
  </si>
  <si>
    <t>Domov Sněženka Jeseník, příspěvková organizace - Varný kotel elektrický - 100 litrů</t>
  </si>
  <si>
    <t>Středisko pečovatelské služby Jeseník - Nákup automobilu</t>
  </si>
  <si>
    <t>1634</t>
  </si>
  <si>
    <t>Domov pro seniory Červenka, příspěvková organizace - Nákup desinfikátoru podložních mís</t>
  </si>
  <si>
    <t>Domov pro seniory Červenka, příspěvková organizace - Nákup pračky</t>
  </si>
  <si>
    <t xml:space="preserve">Domov Hrubá Voda, příspěvková organizace - Varný kotel </t>
  </si>
  <si>
    <t>1637</t>
  </si>
  <si>
    <t>Domov seniorů POHODA Chválkovice, příspěvková organizace - Obnova strojového parku v prádelně - pračky na 40 kg prádla 2 ks</t>
  </si>
  <si>
    <t>Domov seniorů POHODA Chválkovice, příspěvková organizace - Dovybavení stravovacího provozu - nákup 14 ks vozíků s ohřevem na 14 ks tabletů</t>
  </si>
  <si>
    <t>Domov seniorů POHODA Chválkovice, příspěvková organizace - Dovybavení stravovacího provozu - nákup 1 ks vozíků s ohřevem na 21 ks tabletů</t>
  </si>
  <si>
    <t>Domov seniorů POHODA Chválkovice, příspěvková organizace - Dovybavení stravovacího provozu - nákup 4 ks vyhřívaného zásobníku na 100 talířů</t>
  </si>
  <si>
    <t>Domov seniorů POHODA Chválkovice, příspěvková organizace - Altán</t>
  </si>
  <si>
    <t>Domov seniorů POHODA Chválkovice, příspěvková organizace - Markýza</t>
  </si>
  <si>
    <t>Sociální služby pro seniory Olomouc, příspěvková organizace - Polohovatelná vana s odklápěcí bočnicí</t>
  </si>
  <si>
    <t>Sociální služby pro seniory Olomouc, příspěvková organizace - Barevné multifunkční zařízení pro tisk A4/A3</t>
  </si>
  <si>
    <t>Vincentinum - poskytovatel sociálních služeb Šternberk, příspěvková organizace - Pergola</t>
  </si>
  <si>
    <t>1640</t>
  </si>
  <si>
    <t>Klíč - centrum sociálních služeb, příspěvková organizace - Osobní automobil</t>
  </si>
  <si>
    <t>Klíč - centrum sociálních služeb, příspěvková organizace - Průmyslová pračka</t>
  </si>
  <si>
    <t>Klíč - centrum sociálních služeb, příspěvková organizace - Průmyslová myčka</t>
  </si>
  <si>
    <t>Klíč - centrum sociálních služeb, příspěvková organizace - Instalace zastřešeného stojanu na jízdní kola klientů a zaměstnanců</t>
  </si>
  <si>
    <t>Středisko sociální prevence, příspěvková organizace - Osobní automobil</t>
  </si>
  <si>
    <t>1644</t>
  </si>
  <si>
    <t>Středisko sociální prevence, příspěvková organizace - Zateplení stropů</t>
  </si>
  <si>
    <t>Sociální služby pro seniory Šumperk, příspěvková organizace - Schodolez Nové Losiny</t>
  </si>
  <si>
    <t>Sociální služby pro seniory Šumperk, příspěvková organizace - Komunikační systém sestra - klient</t>
  </si>
  <si>
    <t>Sociální služby pro seniory Šumperk, příspěvková organizace - Pořízení osobního automobilu pro pečovatelskou službu</t>
  </si>
  <si>
    <t>Sociální služby pro seniory Šumperk, příspěvková organizace - Technické zhodnocení dveří - náhrada stívajícíh za automaticky ovládané dveře</t>
  </si>
  <si>
    <t>Sociální služby Libina, příspěvková organizace - Nákup myčky posložních mís</t>
  </si>
  <si>
    <t>1646</t>
  </si>
  <si>
    <t>Sociální služby Libina, příspěvková organizace - Rozšíření stropního zvedacího a asistenčního systému</t>
  </si>
  <si>
    <t>Sociální služby Libina, příspěvková organizace - Rekonstrukce koupelny</t>
  </si>
  <si>
    <t>Domov Štíty - Jedlí, příspěvková organizace - Nákup automobilu pro imobilní uživatele</t>
  </si>
  <si>
    <t>Domov seniorů Prostějov, příspěvková organizace - Dělička na těsto el. HML - 21036</t>
  </si>
  <si>
    <t>1652</t>
  </si>
  <si>
    <t>Domov seniorů Prostějov, příspěvková organizace - Universální kuchyňský stroj typu RE 22 s příslušenstvím</t>
  </si>
  <si>
    <t>Domov seniorů Prostějov, příspěvková organizace - Jídelna - zhotovení sádrokartonového stropu</t>
  </si>
  <si>
    <t>Domov pro seniory Jesenec, příspěvková organizace - Klimatizace - Hlavní budova č. p. 1</t>
  </si>
  <si>
    <t>Domov "Na Zámku" - Nákup osobního automobilu</t>
  </si>
  <si>
    <t>1654</t>
  </si>
  <si>
    <t>Centrum sociálních služeb Prostějov, příspěvková organizace - Ústředna a hlásiče EPS</t>
  </si>
  <si>
    <t>Centrum sociálních služeb Prostějov, příspěvková organizace - Vozidlo pro pečovatelskou službu</t>
  </si>
  <si>
    <t>Centrum sociálních služeb Prostějov, příspěvková organizace - Komunikační panel</t>
  </si>
  <si>
    <t>Centrum sociálních služeb Prostějov, příspěvková organizace - Schodišťová sedačka DPS</t>
  </si>
  <si>
    <t>Centrum sociálních služeb Prostějov, příspěvková organizace - Automobil pro rozvoz stravy se zvedací plošinou</t>
  </si>
  <si>
    <t>Centrum sociálních služeb Prostějov, příspěvková organizace - Robot Coupé</t>
  </si>
  <si>
    <t>Centrum sociálních služeb Prostějov, příspěvková organizace - Průmyslová myčka nádobí v budovách služeb</t>
  </si>
  <si>
    <t>Centrum sociálních služeb Prostějov, příspěvková organizace - Závahy SO-14</t>
  </si>
  <si>
    <t>Centrum sociálních služeb Prostějov, příspěvková organizace - Pozemní komunikace u budovy SO-06 a SO-13</t>
  </si>
  <si>
    <t>Domov Alfreda Skeneho Pavlovice u Přerova, příspěvková organizace - Průmyslová pračka</t>
  </si>
  <si>
    <t>Domov pro seniory Tovačov, příspěvková organizace - Dezinfektor podložních mís</t>
  </si>
  <si>
    <t>Domov pro seniory Tovačov, příspěvková organizace - Obnova chladícího a mrazícího centra stravovacího provozu</t>
  </si>
  <si>
    <t>1659</t>
  </si>
  <si>
    <t>Domov Větrný mlýn Skalička, příspěvková organizace - Zahradní altán</t>
  </si>
  <si>
    <t>Domov Na zámečku Rokytnice, příspěvková organizace - Rekonstrukce sociálního zařízení - jižní křídlo přízemí budovy zámku</t>
  </si>
  <si>
    <t>Domov Na zámečku Rokytnice, příspěvková organizace - Elektrický kotel do kuchyně</t>
  </si>
  <si>
    <t>Domov Na zámečku Rokytnice, příspěvková organizace - Kutr do kuchyně</t>
  </si>
  <si>
    <t>Domov Na zámečku Rokytnice, příspěvková organizace - Realizace zastřešení zpevněné plochy - skladovací přístřešek</t>
  </si>
  <si>
    <t>PO, UZ 13, POL 5331</t>
  </si>
  <si>
    <t>PO, UZ 13, POL 6351</t>
  </si>
  <si>
    <t>Vlastivědné muzeum v Olomouci - Osobní automobil</t>
  </si>
  <si>
    <t>Vlastivědné muzeum v Olomouci - ABL zemědělská expozice, III.etapa</t>
  </si>
  <si>
    <t>Vlastivědné muzeum v Olomouci - Zabezpečovací zařízení VMO výměna</t>
  </si>
  <si>
    <t xml:space="preserve">Vlastivědné muzeum v Olomouci - Vybavení přízemí zámku </t>
  </si>
  <si>
    <t>Vlastivědné muzeum v Olomouci - Nový SW pro zabezpeč.zzař. VMO</t>
  </si>
  <si>
    <t>Vlastivědné muzeum v Olomouci - Rekonstrukce vstupních bran do parku v Čechách pod Kosířem</t>
  </si>
  <si>
    <t>Vlastivědné muzeum Jesenicka, příspěvková organizace - Regály k uložení obrazů a map Vodní tvrz</t>
  </si>
  <si>
    <t>Vlastivědné muzeum Jesenicka, příspěvková organizace - Osobní automobil</t>
  </si>
  <si>
    <t>Vlastivědné muzeum Jesenicka, příspěvková organizace - Skener k archivaci skleněných či filmových negativů</t>
  </si>
  <si>
    <t>Vlastivědné muzeum Jesenicka, příspěvková organizace - Počítač HP Z240 TWR E3-1225v5</t>
  </si>
  <si>
    <t>Vlastivědné muzeum Jesenicka, příspěvková organizace - Digitální zrcadlovka Canon EOS 70D</t>
  </si>
  <si>
    <t>Vlastivědné muzeum Jesenicka, příspěvková organizace - Odvlhčovač pro depozitář č. 1 ve Vodní tvrzi</t>
  </si>
  <si>
    <t>Muzeum a galerie v Prostějově, příspěvková organizace - Posuvné kolejnicové regály pro uložení knih v muzejní knihovně</t>
  </si>
  <si>
    <t>Muzeum a galerie v Prostějově, příspěvková organizace - Soubor předmětů a pomůcek pro vystavování-tzv.výstavní fundus a plně polohovatelné figuríny do výstavních sálů</t>
  </si>
  <si>
    <t>Muzeum a galerie v Prostějově, příspěvková organizace - fyzikální a astronomická dílna a herna pro veřejnost v astronomickém oddělení - hvězdárně</t>
  </si>
  <si>
    <t>Vlastivědné muzeum v Šumperku, příspěvková organizace - regálový zásuvkový systém</t>
  </si>
  <si>
    <t>Vlastivědné muzeum v Šumperku, příspěvková organizace - dataprojektor a přehrávač</t>
  </si>
  <si>
    <t>Vlastivědné muzeum v Šumperku, příspěvková organizace - Automobil Transit</t>
  </si>
  <si>
    <t>Archeologické centrum Olomouc, příspěvková organizace - Osobní automobil 4x4</t>
  </si>
  <si>
    <t>ORJ 19, UZ 14, POL 5331</t>
  </si>
  <si>
    <t>ORJ 19, UZ 14, POL 6351</t>
  </si>
  <si>
    <t>Odborný léčebný ústav Paseka, příspěvková organizace - Motodlaha pro DK</t>
  </si>
  <si>
    <t>Odborný léčebný ústav Paseka, příspěvková organizace - Elektroléčebný přístroj - multifunkční</t>
  </si>
  <si>
    <t>Odborný léčebný ústav Paseka, příspěvková organizace - Elektroléčebný elmagnetický přístroj - multifunkční</t>
  </si>
  <si>
    <t xml:space="preserve">Odborný léčebný ústav Paseka, příspěvková organizace - Ergonomické multifunkční hygienické křeslo </t>
  </si>
  <si>
    <t xml:space="preserve">Odborný léčebný ústav Paseka, příspěvková organizace - Lůžka s laterálním náklonem    </t>
  </si>
  <si>
    <t>Odborný léčebný ústav Paseka, příspěvková organizace - Myčka nádobí</t>
  </si>
  <si>
    <t xml:space="preserve">Odborný léčebný ústav Paseka, příspěvková organizace - Čajovar </t>
  </si>
  <si>
    <t>Odborný léčebný ústav Paseka, příspěvková organizace - Parní čistič</t>
  </si>
  <si>
    <t>Odborný léčebný ústav Paseka, příspěvková organizace - Robot na zeleninu - trojnožka</t>
  </si>
  <si>
    <t xml:space="preserve">Odborný léčebný ústav Paseka, příspěvková organizace - Pojízdné koupací lůžko </t>
  </si>
  <si>
    <t>Odborný léčebný ústav Paseka, příspěvková organizace - Váha pro tělesnou analýzu</t>
  </si>
  <si>
    <t>Odborný léčebný ústav Paseka, příspěvková organizace - Banketový vozík</t>
  </si>
  <si>
    <t>Odborný léčebný ústav Paseka, příspěvková organizace - Plynový sporák</t>
  </si>
  <si>
    <t>Odborný léčebný ústav Paseka, příspěvková organizace - Studie proveditelnosti projektu kybernetické bezpečnosti OLÚ Paseka</t>
  </si>
  <si>
    <t>Odborný léčebný ústav Paseka, příspěvková organizace - Plynová pánev s objemem 80 l</t>
  </si>
  <si>
    <t>Odborný léčebný ústav Paseka, příspěvková organizace - Systém gener.klíče pro pavilon 2</t>
  </si>
  <si>
    <t xml:space="preserve">Odborný léčebný ústav Paseka, příspěvková organizace - Pavilon 2 </t>
  </si>
  <si>
    <t>Odborný léčebný ústav Paseka, příspěvková organizace - Posílení přivaděče vody</t>
  </si>
  <si>
    <t>Odborný léčebný ústav Paseka, příspěvková organizace - Budova "C" II. etapa - aktualzace PD</t>
  </si>
  <si>
    <t>Odborný léčebný ústav Paseka, příspěvková organizace - Osobní automobil</t>
  </si>
  <si>
    <t>Zdravotnická záchranná alužba Olomouckého kraje, příspěvková organizace - Referentské vozidlo - combi</t>
  </si>
  <si>
    <t>Zdravotnická záchranná alužba Olomouckého kraje, příspěvková organizace - Sanitní vozidlo pro systém RV (rendes vous)</t>
  </si>
  <si>
    <t>Zdravotnická záchranná alužba Olomouckého kraje, příspěvková organizace - Nákup softwaru pro operační středisko</t>
  </si>
  <si>
    <t>ORJ 19, UZ 420, POL 6351</t>
  </si>
  <si>
    <t>Revolving KB</t>
  </si>
  <si>
    <t>Rozpočet OK (bez dotace)</t>
  </si>
  <si>
    <t>Účelové dotace</t>
  </si>
  <si>
    <t>Orj 01</t>
  </si>
  <si>
    <t>ORJ 7</t>
  </si>
  <si>
    <t>Orj 07</t>
  </si>
  <si>
    <t>Zapojení KB</t>
  </si>
  <si>
    <t>RU - Skutečnost</t>
  </si>
  <si>
    <t>Zapojení 100915</t>
  </si>
  <si>
    <t>Odborný léčebný ústav neurologicko-geriatrický Moravský Beroun - Vybudování plynových kotelen pro výrobu tepla a TUV</t>
  </si>
  <si>
    <t>akce zajišťované odborem investic</t>
  </si>
  <si>
    <t>c) akce zajišťované odborem majetkovým, právním a správních činností</t>
  </si>
  <si>
    <t>Investiční výdaje odborů celkem</t>
  </si>
  <si>
    <t xml:space="preserve">Oblast zdravotnictví </t>
  </si>
  <si>
    <t>SMN a.s. - o.z. Nemocnice Přerov - rekonstrukce odběrového střediska</t>
  </si>
  <si>
    <t>SMN a.s. - o.z. Nemocnice Šternberk - rekonstrukce střech a oken</t>
  </si>
  <si>
    <t xml:space="preserve">Realizace energeticky úsporných opatření - Nemocnice Přerov-domov sester </t>
  </si>
  <si>
    <t>SMN</t>
  </si>
  <si>
    <t>Ve schváleném rozpočtu jsou započítány EPC + OMP (výdaje odborů ORJ 8 - 1 544 tis. Kč a ORJ 4 - 2 501 tis. Kč), nejsou zde Soc. UZ 123 (ORJ 11 + 188 tis. Kč)</t>
  </si>
  <si>
    <t>Odkup nemovitostí z vlastnictví Univerzity Palackého v Olomouci do vlastnictví Olomouckého kraje, do hospodaření Obchodní akademie, Olomouc a dále Smlouva s TEXTIL INVEST GROUP a.s. v k ú. Rapotín, odkup garáže v k. ú. Hranice</t>
  </si>
  <si>
    <t>odkupu pozemku v k. ú. a obci Čechy pod Kosířem z vlastnictví Povodí Moravy, s. p. do hospodaření Vlastivědného muzea v Olomouci</t>
  </si>
  <si>
    <t xml:space="preserve"> - projekty spolufinancované</t>
  </si>
  <si>
    <t>b) Projekty spolufinancované z evropských a národních fondů</t>
  </si>
  <si>
    <t xml:space="preserve">Rekapitulace dle financovaných oblastí: </t>
  </si>
  <si>
    <t>akce hrazené z rozpočtu OK</t>
  </si>
  <si>
    <t>projekty spolufinancované z EF a NF</t>
  </si>
  <si>
    <t>akce hrazené z nájemného SMN</t>
  </si>
  <si>
    <t xml:space="preserve">Rekapitulace dle zdrojů financování: </t>
  </si>
  <si>
    <t>hrazené z rozpočtu OK</t>
  </si>
  <si>
    <t>hrazené z účelových dotací</t>
  </si>
  <si>
    <t>hrazené z revolvingu KB</t>
  </si>
  <si>
    <t>Modernizace školních dílen jako centrum odborné přípravy – strojní část (Sigmundova střední škola strojírenská , Lutín)</t>
  </si>
  <si>
    <t>Modernizace školních dílen jako centrum odborné přípravy – stavební část (Sigmundova střední škola strojírenská , Lutín)</t>
  </si>
  <si>
    <t>Podpora přírodních věd, technických oborů a využití digitálních technologií v zájmovém vzdělávání</t>
  </si>
  <si>
    <t>II/150 Dub nad Moravou – hranice okresu PV – rekonstrukce silnice</t>
  </si>
  <si>
    <t>REÚO Gymnázium Jakuba Škody, Přerov - přístavba GJŠ II. v Havlíčkově ulici - a) zateplení</t>
  </si>
  <si>
    <t>REÚO Střední škola a Základní škola Lipník nad Bečvou - přístavby školy + oprava fasády přední části budovy - a) zateplení</t>
  </si>
  <si>
    <t>REÚO Střední škola gastronomie a služeb, Přerov - budova tělocvičny - a) zateplení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</si>
</sst>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b/>
      <i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B0F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10"/>
      <color theme="9"/>
      <name val="Arial"/>
      <family val="2"/>
      <charset val="238"/>
    </font>
    <font>
      <b/>
      <sz val="10"/>
      <color rgb="FFFFC000"/>
      <name val="Arial"/>
      <family val="2"/>
      <charset val="238"/>
    </font>
    <font>
      <b/>
      <i/>
      <sz val="10"/>
      <color rgb="FFFFC000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10"/>
      <color theme="3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i/>
      <sz val="10"/>
      <color theme="4" tint="-0.499984740745262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theme="3" tint="-0.499984740745262"/>
      <name val="Arial"/>
      <family val="2"/>
      <charset val="238"/>
    </font>
    <font>
      <b/>
      <sz val="10"/>
      <color theme="3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10"/>
      <color theme="7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0"/>
      <color rgb="FFFFFF00"/>
      <name val="Arial"/>
      <family val="2"/>
      <charset val="238"/>
    </font>
    <font>
      <sz val="10"/>
      <color theme="3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8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4" fillId="0" borderId="0" xfId="1" applyAlignment="1">
      <alignment horizontal="right"/>
    </xf>
    <xf numFmtId="4" fontId="4" fillId="0" borderId="0" xfId="1" applyNumberFormat="1"/>
    <xf numFmtId="0" fontId="4" fillId="0" borderId="0" xfId="1"/>
    <xf numFmtId="0" fontId="7" fillId="0" borderId="0" xfId="1" applyFont="1"/>
    <xf numFmtId="0" fontId="4" fillId="0" borderId="0" xfId="1" applyBorder="1"/>
    <xf numFmtId="0" fontId="7" fillId="0" borderId="14" xfId="1" applyFont="1" applyBorder="1"/>
    <xf numFmtId="0" fontId="4" fillId="0" borderId="14" xfId="1" applyBorder="1"/>
    <xf numFmtId="0" fontId="4" fillId="0" borderId="14" xfId="1" applyBorder="1" applyAlignment="1">
      <alignment horizontal="right"/>
    </xf>
    <xf numFmtId="0" fontId="4" fillId="0" borderId="7" xfId="1" applyBorder="1"/>
    <xf numFmtId="4" fontId="19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" fontId="6" fillId="0" borderId="16" xfId="1" applyNumberFormat="1" applyFont="1" applyFill="1" applyBorder="1" applyAlignment="1">
      <alignment horizontal="center" vertical="center"/>
    </xf>
    <xf numFmtId="0" fontId="3" fillId="0" borderId="15" xfId="1" applyFont="1" applyBorder="1"/>
    <xf numFmtId="4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/>
    </xf>
    <xf numFmtId="4" fontId="3" fillId="0" borderId="1" xfId="1" applyNumberFormat="1" applyFont="1" applyBorder="1"/>
    <xf numFmtId="4" fontId="3" fillId="0" borderId="0" xfId="1" applyNumberFormat="1" applyFont="1" applyBorder="1"/>
    <xf numFmtId="0" fontId="4" fillId="0" borderId="0" xfId="1" applyFont="1"/>
    <xf numFmtId="0" fontId="9" fillId="0" borderId="0" xfId="1" applyFont="1" applyBorder="1" applyAlignment="1">
      <alignment horizontal="left"/>
    </xf>
    <xf numFmtId="0" fontId="17" fillId="0" borderId="15" xfId="1" applyFont="1" applyBorder="1" applyAlignment="1">
      <alignment horizontal="left"/>
    </xf>
    <xf numFmtId="4" fontId="17" fillId="0" borderId="4" xfId="1" applyNumberFormat="1" applyFont="1" applyBorder="1"/>
    <xf numFmtId="0" fontId="17" fillId="0" borderId="0" xfId="1" applyFont="1"/>
    <xf numFmtId="0" fontId="20" fillId="0" borderId="0" xfId="1" applyFont="1"/>
    <xf numFmtId="0" fontId="21" fillId="0" borderId="0" xfId="1" applyFont="1"/>
    <xf numFmtId="0" fontId="7" fillId="0" borderId="0" xfId="1" applyFont="1" applyFill="1" applyAlignment="1">
      <alignment horizontal="left"/>
    </xf>
    <xf numFmtId="0" fontId="22" fillId="0" borderId="0" xfId="1" applyFont="1" applyFill="1"/>
    <xf numFmtId="4" fontId="22" fillId="0" borderId="0" xfId="1" applyNumberFormat="1" applyFont="1" applyFill="1"/>
    <xf numFmtId="0" fontId="4" fillId="0" borderId="0" xfId="1" applyFill="1"/>
    <xf numFmtId="0" fontId="3" fillId="0" borderId="0" xfId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4" fillId="0" borderId="0" xfId="1" applyFont="1" applyFill="1"/>
    <xf numFmtId="0" fontId="7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left"/>
    </xf>
    <xf numFmtId="0" fontId="22" fillId="0" borderId="0" xfId="1" applyFont="1"/>
    <xf numFmtId="0" fontId="9" fillId="0" borderId="0" xfId="1" applyFont="1" applyFill="1" applyAlignment="1">
      <alignment horizontal="left"/>
    </xf>
    <xf numFmtId="0" fontId="4" fillId="0" borderId="0" xfId="1" applyFont="1" applyFill="1" applyAlignment="1">
      <alignment horizontal="right"/>
    </xf>
    <xf numFmtId="0" fontId="8" fillId="0" borderId="7" xfId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/>
    </xf>
    <xf numFmtId="4" fontId="4" fillId="0" borderId="1" xfId="1" applyNumberFormat="1" applyFill="1" applyBorder="1" applyAlignment="1">
      <alignment horizontal="center" vertical="center"/>
    </xf>
    <xf numFmtId="0" fontId="4" fillId="0" borderId="3" xfId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left" vertical="center"/>
    </xf>
    <xf numFmtId="4" fontId="9" fillId="0" borderId="4" xfId="1" applyNumberFormat="1" applyFont="1" applyFill="1" applyBorder="1" applyAlignment="1">
      <alignment horizontal="right" vertical="center"/>
    </xf>
    <xf numFmtId="164" fontId="9" fillId="0" borderId="5" xfId="1" applyNumberFormat="1" applyFont="1" applyFill="1" applyBorder="1"/>
    <xf numFmtId="0" fontId="2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4" fontId="11" fillId="2" borderId="0" xfId="1" applyNumberFormat="1" applyFont="1" applyFill="1" applyBorder="1" applyAlignment="1">
      <alignment horizontal="right" vertical="center"/>
    </xf>
    <xf numFmtId="4" fontId="10" fillId="2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4" fillId="0" borderId="0" xfId="1" applyBorder="1" applyAlignment="1">
      <alignment vertical="center"/>
    </xf>
    <xf numFmtId="3" fontId="11" fillId="2" borderId="0" xfId="1" applyNumberFormat="1" applyFont="1" applyFill="1" applyBorder="1" applyAlignment="1">
      <alignment horizontal="right" vertical="center"/>
    </xf>
    <xf numFmtId="0" fontId="22" fillId="0" borderId="0" xfId="1" applyFont="1" applyBorder="1"/>
    <xf numFmtId="0" fontId="9" fillId="2" borderId="0" xfId="1" applyFont="1" applyFill="1" applyBorder="1" applyAlignment="1">
      <alignment horizontal="left" vertical="center"/>
    </xf>
    <xf numFmtId="164" fontId="12" fillId="0" borderId="5" xfId="1" applyNumberFormat="1" applyFont="1" applyFill="1" applyBorder="1" applyAlignment="1">
      <alignment vertical="center"/>
    </xf>
    <xf numFmtId="0" fontId="23" fillId="0" borderId="0" xfId="1" applyFont="1"/>
    <xf numFmtId="0" fontId="10" fillId="0" borderId="0" xfId="1" applyFont="1"/>
    <xf numFmtId="0" fontId="8" fillId="2" borderId="0" xfId="1" applyFont="1" applyFill="1" applyBorder="1" applyAlignment="1">
      <alignment vertical="center" wrapText="1"/>
    </xf>
    <xf numFmtId="0" fontId="7" fillId="2" borderId="8" xfId="1" applyFont="1" applyFill="1" applyBorder="1" applyAlignment="1">
      <alignment vertical="center" wrapText="1"/>
    </xf>
    <xf numFmtId="4" fontId="3" fillId="2" borderId="8" xfId="1" applyNumberFormat="1" applyFont="1" applyFill="1" applyBorder="1" applyAlignment="1">
      <alignment vertical="center"/>
    </xf>
    <xf numFmtId="164" fontId="15" fillId="0" borderId="8" xfId="1" applyNumberFormat="1" applyFont="1" applyFill="1" applyBorder="1" applyAlignment="1">
      <alignment vertical="center"/>
    </xf>
    <xf numFmtId="0" fontId="24" fillId="0" borderId="0" xfId="1" applyFont="1"/>
    <xf numFmtId="0" fontId="10" fillId="0" borderId="0" xfId="1" applyFont="1" applyBorder="1"/>
    <xf numFmtId="4" fontId="10" fillId="0" borderId="0" xfId="1" applyNumberFormat="1" applyFont="1" applyBorder="1"/>
    <xf numFmtId="4" fontId="9" fillId="0" borderId="13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left"/>
    </xf>
    <xf numFmtId="0" fontId="14" fillId="0" borderId="0" xfId="1" applyFont="1" applyFill="1" applyBorder="1"/>
    <xf numFmtId="0" fontId="14" fillId="0" borderId="0" xfId="1" applyFont="1" applyFill="1" applyBorder="1" applyAlignment="1">
      <alignment horizontal="left"/>
    </xf>
    <xf numFmtId="4" fontId="10" fillId="0" borderId="0" xfId="1" applyNumberFormat="1" applyFont="1" applyFill="1" applyBorder="1"/>
    <xf numFmtId="164" fontId="14" fillId="0" borderId="0" xfId="1" applyNumberFormat="1" applyFont="1" applyFill="1" applyBorder="1"/>
    <xf numFmtId="0" fontId="15" fillId="0" borderId="8" xfId="1" applyFont="1" applyFill="1" applyBorder="1" applyAlignment="1">
      <alignment horizontal="left"/>
    </xf>
    <xf numFmtId="4" fontId="12" fillId="0" borderId="8" xfId="1" applyNumberFormat="1" applyFont="1" applyFill="1" applyBorder="1"/>
    <xf numFmtId="164" fontId="12" fillId="0" borderId="8" xfId="1" applyNumberFormat="1" applyFont="1" applyFill="1" applyBorder="1"/>
    <xf numFmtId="164" fontId="9" fillId="0" borderId="5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ill="1"/>
    <xf numFmtId="0" fontId="4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3" fontId="10" fillId="0" borderId="0" xfId="1" applyNumberFormat="1" applyFont="1" applyFill="1" applyBorder="1" applyAlignment="1">
      <alignment horizontal="left"/>
    </xf>
    <xf numFmtId="0" fontId="4" fillId="0" borderId="0" xfId="1" applyFont="1" applyFill="1" applyAlignment="1">
      <alignment horizontal="left"/>
    </xf>
    <xf numFmtId="0" fontId="18" fillId="0" borderId="0" xfId="1" applyFont="1" applyFill="1" applyAlignment="1">
      <alignment horizontal="left"/>
    </xf>
    <xf numFmtId="0" fontId="2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3" fontId="10" fillId="0" borderId="0" xfId="1" applyNumberFormat="1" applyFont="1" applyFill="1" applyBorder="1" applyAlignment="1">
      <alignment horizontal="left" vertical="center"/>
    </xf>
    <xf numFmtId="0" fontId="4" fillId="4" borderId="0" xfId="1" applyFont="1" applyFill="1" applyAlignment="1">
      <alignment horizontal="left"/>
    </xf>
    <xf numFmtId="3" fontId="4" fillId="0" borderId="0" xfId="1" applyNumberFormat="1" applyFont="1" applyFill="1" applyAlignment="1">
      <alignment horizontal="left"/>
    </xf>
    <xf numFmtId="0" fontId="4" fillId="0" borderId="0" xfId="1" applyFont="1" applyAlignment="1">
      <alignment horizontal="left"/>
    </xf>
    <xf numFmtId="4" fontId="25" fillId="0" borderId="0" xfId="1" applyNumberFormat="1" applyFont="1" applyBorder="1"/>
    <xf numFmtId="0" fontId="10" fillId="0" borderId="0" xfId="1" applyFont="1" applyFill="1" applyAlignment="1">
      <alignment horizontal="left" vertical="center"/>
    </xf>
    <xf numFmtId="0" fontId="23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26" fillId="0" borderId="0" xfId="1" applyFont="1" applyFill="1" applyAlignment="1">
      <alignment horizontal="center"/>
    </xf>
    <xf numFmtId="0" fontId="26" fillId="0" borderId="0" xfId="1" applyFont="1" applyFill="1" applyBorder="1" applyAlignment="1">
      <alignment horizontal="center"/>
    </xf>
    <xf numFmtId="4" fontId="22" fillId="0" borderId="0" xfId="1" applyNumberFormat="1" applyFont="1"/>
    <xf numFmtId="0" fontId="4" fillId="5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6" borderId="0" xfId="1" applyFont="1" applyFill="1" applyAlignment="1">
      <alignment horizontal="left"/>
    </xf>
    <xf numFmtId="0" fontId="4" fillId="7" borderId="0" xfId="1" applyFont="1" applyFill="1" applyAlignment="1">
      <alignment horizontal="left"/>
    </xf>
    <xf numFmtId="0" fontId="7" fillId="3" borderId="0" xfId="1" applyFont="1" applyFill="1" applyAlignment="1">
      <alignment horizontal="left"/>
    </xf>
    <xf numFmtId="0" fontId="5" fillId="7" borderId="0" xfId="1" applyFont="1" applyFill="1" applyAlignment="1">
      <alignment horizontal="left"/>
    </xf>
    <xf numFmtId="0" fontId="7" fillId="6" borderId="0" xfId="1" applyFont="1" applyFill="1" applyAlignment="1">
      <alignment horizontal="left"/>
    </xf>
    <xf numFmtId="0" fontId="7" fillId="4" borderId="0" xfId="1" applyFont="1" applyFill="1" applyAlignment="1">
      <alignment horizontal="left"/>
    </xf>
    <xf numFmtId="4" fontId="0" fillId="0" borderId="0" xfId="0" applyNumberFormat="1" applyFill="1" applyAlignment="1">
      <alignment horizontal="right"/>
    </xf>
    <xf numFmtId="4" fontId="6" fillId="8" borderId="4" xfId="1" applyNumberFormat="1" applyFont="1" applyFill="1" applyBorder="1"/>
    <xf numFmtId="0" fontId="25" fillId="0" borderId="0" xfId="1" applyFont="1"/>
    <xf numFmtId="0" fontId="30" fillId="0" borderId="0" xfId="1" applyFont="1"/>
    <xf numFmtId="0" fontId="31" fillId="0" borderId="0" xfId="1" applyFont="1"/>
    <xf numFmtId="4" fontId="9" fillId="0" borderId="10" xfId="1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vertical="center" wrapText="1"/>
    </xf>
    <xf numFmtId="4" fontId="10" fillId="0" borderId="0" xfId="1" applyNumberFormat="1" applyFont="1" applyFill="1" applyBorder="1" applyAlignment="1">
      <alignment vertical="center"/>
    </xf>
    <xf numFmtId="0" fontId="4" fillId="9" borderId="0" xfId="2" applyNumberFormat="1" applyFont="1" applyFill="1" applyBorder="1" applyAlignment="1">
      <alignment horizontal="center" vertical="center" wrapText="1"/>
    </xf>
    <xf numFmtId="0" fontId="35" fillId="9" borderId="0" xfId="0" applyFont="1" applyFill="1"/>
    <xf numFmtId="49" fontId="2" fillId="0" borderId="0" xfId="1" applyNumberFormat="1" applyFont="1" applyFill="1" applyAlignment="1">
      <alignment horizontal="left"/>
    </xf>
    <xf numFmtId="49" fontId="2" fillId="0" borderId="0" xfId="1" applyNumberFormat="1" applyFont="1" applyFill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4" fontId="9" fillId="0" borderId="0" xfId="0" applyNumberFormat="1" applyFont="1" applyFill="1"/>
    <xf numFmtId="4" fontId="37" fillId="0" borderId="0" xfId="0" applyNumberFormat="1" applyFont="1" applyFill="1"/>
    <xf numFmtId="4" fontId="28" fillId="0" borderId="0" xfId="0" applyNumberFormat="1" applyFont="1" applyFill="1"/>
    <xf numFmtId="0" fontId="36" fillId="0" borderId="0" xfId="1" applyFont="1"/>
    <xf numFmtId="4" fontId="36" fillId="0" borderId="0" xfId="1" applyNumberFormat="1" applyFont="1"/>
    <xf numFmtId="0" fontId="39" fillId="0" borderId="0" xfId="1" applyFont="1"/>
    <xf numFmtId="4" fontId="8" fillId="0" borderId="0" xfId="1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4" fontId="4" fillId="0" borderId="0" xfId="1" applyNumberFormat="1" applyFill="1" applyBorder="1" applyAlignment="1">
      <alignment horizontal="center" vertical="center"/>
    </xf>
    <xf numFmtId="0" fontId="27" fillId="0" borderId="0" xfId="1" applyFont="1" applyBorder="1" applyAlignment="1">
      <alignment vertical="center"/>
    </xf>
    <xf numFmtId="4" fontId="4" fillId="0" borderId="0" xfId="1" applyNumberFormat="1" applyFont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4" fontId="10" fillId="0" borderId="9" xfId="1" applyNumberFormat="1" applyFont="1" applyFill="1" applyBorder="1" applyAlignment="1">
      <alignment vertical="center"/>
    </xf>
    <xf numFmtId="164" fontId="10" fillId="0" borderId="6" xfId="1" applyNumberFormat="1" applyFont="1" applyFill="1" applyBorder="1" applyAlignment="1">
      <alignment vertical="center"/>
    </xf>
    <xf numFmtId="4" fontId="10" fillId="0" borderId="14" xfId="1" applyNumberFormat="1" applyFont="1" applyFill="1" applyBorder="1" applyAlignment="1">
      <alignment vertical="center"/>
    </xf>
    <xf numFmtId="4" fontId="10" fillId="0" borderId="4" xfId="1" applyNumberFormat="1" applyFont="1" applyFill="1" applyBorder="1"/>
    <xf numFmtId="4" fontId="10" fillId="0" borderId="9" xfId="1" applyNumberFormat="1" applyFont="1" applyFill="1" applyBorder="1"/>
    <xf numFmtId="4" fontId="11" fillId="0" borderId="0" xfId="1" applyNumberFormat="1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left" vertical="center"/>
    </xf>
    <xf numFmtId="0" fontId="35" fillId="9" borderId="0" xfId="0" applyFont="1" applyFill="1" applyAlignment="1">
      <alignment vertical="center"/>
    </xf>
    <xf numFmtId="4" fontId="37" fillId="10" borderId="0" xfId="0" applyNumberFormat="1" applyFont="1" applyFill="1" applyAlignment="1">
      <alignment vertical="center"/>
    </xf>
    <xf numFmtId="4" fontId="9" fillId="0" borderId="0" xfId="1" applyNumberFormat="1" applyFont="1"/>
    <xf numFmtId="4" fontId="4" fillId="0" borderId="0" xfId="1" applyNumberFormat="1" applyAlignment="1">
      <alignment vertical="center"/>
    </xf>
    <xf numFmtId="0" fontId="33" fillId="0" borderId="0" xfId="1" applyFont="1"/>
    <xf numFmtId="0" fontId="36" fillId="0" borderId="0" xfId="1" applyFont="1" applyAlignment="1">
      <alignment vertical="center"/>
    </xf>
    <xf numFmtId="0" fontId="40" fillId="0" borderId="0" xfId="1" applyFont="1" applyAlignment="1">
      <alignment vertical="center"/>
    </xf>
    <xf numFmtId="0" fontId="40" fillId="0" borderId="0" xfId="1" applyFont="1"/>
    <xf numFmtId="0" fontId="43" fillId="0" borderId="0" xfId="1" applyFont="1"/>
    <xf numFmtId="0" fontId="7" fillId="2" borderId="0" xfId="1" applyFont="1" applyFill="1" applyBorder="1" applyAlignment="1">
      <alignment vertical="center" wrapText="1"/>
    </xf>
    <xf numFmtId="4" fontId="3" fillId="2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right"/>
    </xf>
    <xf numFmtId="0" fontId="9" fillId="0" borderId="17" xfId="1" applyFont="1" applyFill="1" applyBorder="1" applyAlignment="1">
      <alignment horizontal="left" vertical="center"/>
    </xf>
    <xf numFmtId="164" fontId="12" fillId="0" borderId="11" xfId="1" applyNumberFormat="1" applyFont="1" applyFill="1" applyBorder="1" applyAlignment="1">
      <alignment vertical="center"/>
    </xf>
    <xf numFmtId="0" fontId="10" fillId="0" borderId="0" xfId="1" applyFont="1" applyFill="1" applyBorder="1"/>
    <xf numFmtId="0" fontId="10" fillId="0" borderId="15" xfId="1" applyFont="1" applyFill="1" applyBorder="1"/>
    <xf numFmtId="4" fontId="10" fillId="0" borderId="5" xfId="1" applyNumberFormat="1" applyFont="1" applyFill="1" applyBorder="1"/>
    <xf numFmtId="0" fontId="3" fillId="0" borderId="15" xfId="1" applyFont="1" applyFill="1" applyBorder="1"/>
    <xf numFmtId="4" fontId="6" fillId="0" borderId="4" xfId="1" applyNumberFormat="1" applyFont="1" applyFill="1" applyBorder="1"/>
    <xf numFmtId="4" fontId="6" fillId="0" borderId="5" xfId="1" applyNumberFormat="1" applyFont="1" applyFill="1" applyBorder="1"/>
    <xf numFmtId="0" fontId="3" fillId="0" borderId="15" xfId="1" applyFont="1" applyFill="1" applyBorder="1" applyAlignment="1">
      <alignment wrapText="1"/>
    </xf>
    <xf numFmtId="4" fontId="6" fillId="0" borderId="4" xfId="1" applyNumberFormat="1" applyFont="1" applyFill="1" applyBorder="1" applyAlignment="1">
      <alignment vertical="center"/>
    </xf>
    <xf numFmtId="0" fontId="17" fillId="0" borderId="15" xfId="1" applyFont="1" applyFill="1" applyBorder="1" applyAlignment="1">
      <alignment horizontal="left"/>
    </xf>
    <xf numFmtId="4" fontId="17" fillId="0" borderId="4" xfId="1" applyNumberFormat="1" applyFont="1" applyFill="1" applyBorder="1"/>
    <xf numFmtId="4" fontId="6" fillId="0" borderId="0" xfId="1" applyNumberFormat="1" applyFont="1" applyFill="1"/>
    <xf numFmtId="4" fontId="28" fillId="0" borderId="0" xfId="1" applyNumberFormat="1" applyFont="1" applyFill="1"/>
    <xf numFmtId="4" fontId="40" fillId="0" borderId="0" xfId="1" applyNumberFormat="1" applyFont="1"/>
    <xf numFmtId="4" fontId="38" fillId="0" borderId="0" xfId="1" applyNumberFormat="1" applyFont="1" applyFill="1"/>
    <xf numFmtId="4" fontId="35" fillId="0" borderId="0" xfId="0" applyNumberFormat="1" applyFont="1" applyFill="1"/>
    <xf numFmtId="4" fontId="26" fillId="0" borderId="0" xfId="0" applyNumberFormat="1" applyFont="1" applyFill="1"/>
    <xf numFmtId="4" fontId="6" fillId="0" borderId="0" xfId="1" applyNumberFormat="1" applyFont="1"/>
    <xf numFmtId="4" fontId="6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right"/>
    </xf>
    <xf numFmtId="0" fontId="10" fillId="0" borderId="0" xfId="1" applyFont="1" applyFill="1" applyBorder="1" applyAlignment="1">
      <alignment vertical="center" wrapText="1"/>
    </xf>
    <xf numFmtId="0" fontId="10" fillId="0" borderId="18" xfId="1" applyFont="1" applyFill="1" applyBorder="1" applyAlignment="1">
      <alignment horizontal="left" vertical="center" wrapText="1"/>
    </xf>
    <xf numFmtId="4" fontId="46" fillId="2" borderId="0" xfId="1" applyNumberFormat="1" applyFont="1" applyFill="1"/>
    <xf numFmtId="4" fontId="41" fillId="2" borderId="0" xfId="1" applyNumberFormat="1" applyFont="1" applyFill="1"/>
    <xf numFmtId="0" fontId="10" fillId="0" borderId="18" xfId="1" applyFont="1" applyFill="1" applyBorder="1" applyAlignment="1">
      <alignment wrapText="1"/>
    </xf>
    <xf numFmtId="0" fontId="10" fillId="0" borderId="18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right"/>
    </xf>
    <xf numFmtId="0" fontId="10" fillId="0" borderId="14" xfId="1" applyFont="1" applyFill="1" applyBorder="1" applyAlignment="1">
      <alignment vertical="center" wrapText="1"/>
    </xf>
    <xf numFmtId="164" fontId="10" fillId="0" borderId="14" xfId="1" applyNumberFormat="1" applyFont="1" applyFill="1" applyBorder="1" applyAlignment="1">
      <alignment vertical="center"/>
    </xf>
    <xf numFmtId="4" fontId="6" fillId="0" borderId="5" xfId="1" applyNumberFormat="1" applyFont="1" applyFill="1" applyBorder="1" applyAlignment="1">
      <alignment vertical="center"/>
    </xf>
    <xf numFmtId="4" fontId="22" fillId="0" borderId="0" xfId="1" applyNumberFormat="1" applyFont="1" applyFill="1" applyAlignment="1">
      <alignment vertical="center"/>
    </xf>
    <xf numFmtId="4" fontId="22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10" fillId="0" borderId="0" xfId="1" applyFont="1" applyFill="1" applyBorder="1" applyAlignment="1">
      <alignment horizontal="left" vertical="center" wrapText="1"/>
    </xf>
    <xf numFmtId="4" fontId="10" fillId="0" borderId="0" xfId="1" applyNumberFormat="1" applyFont="1" applyFill="1" applyBorder="1" applyAlignment="1">
      <alignment horizontal="right" vertical="center"/>
    </xf>
    <xf numFmtId="0" fontId="10" fillId="8" borderId="18" xfId="1" applyFont="1" applyFill="1" applyBorder="1" applyAlignment="1">
      <alignment horizontal="left" vertical="center"/>
    </xf>
    <xf numFmtId="0" fontId="26" fillId="0" borderId="0" xfId="0" applyFont="1" applyFill="1" applyAlignment="1">
      <alignment vertical="top"/>
    </xf>
    <xf numFmtId="4" fontId="28" fillId="0" borderId="0" xfId="0" applyNumberFormat="1" applyFont="1" applyFill="1" applyAlignment="1">
      <alignment vertical="top"/>
    </xf>
    <xf numFmtId="4" fontId="29" fillId="0" borderId="0" xfId="0" applyNumberFormat="1" applyFont="1" applyFill="1"/>
    <xf numFmtId="0" fontId="33" fillId="0" borderId="0" xfId="1" applyFont="1" applyBorder="1"/>
    <xf numFmtId="0" fontId="10" fillId="0" borderId="21" xfId="1" applyFont="1" applyFill="1" applyBorder="1" applyAlignment="1">
      <alignment vertical="center" wrapText="1"/>
    </xf>
    <xf numFmtId="4" fontId="10" fillId="0" borderId="21" xfId="1" applyNumberFormat="1" applyFont="1" applyFill="1" applyBorder="1" applyAlignment="1">
      <alignment vertical="center"/>
    </xf>
    <xf numFmtId="164" fontId="10" fillId="0" borderId="21" xfId="1" applyNumberFormat="1" applyFont="1" applyFill="1" applyBorder="1" applyAlignment="1">
      <alignment vertical="center"/>
    </xf>
    <xf numFmtId="0" fontId="10" fillId="0" borderId="21" xfId="1" applyFont="1" applyFill="1" applyBorder="1" applyAlignment="1">
      <alignment horizontal="left" vertical="center" wrapText="1"/>
    </xf>
    <xf numFmtId="4" fontId="10" fillId="0" borderId="21" xfId="1" applyNumberFormat="1" applyFont="1" applyFill="1" applyBorder="1" applyAlignment="1">
      <alignment horizontal="right" vertical="center"/>
    </xf>
    <xf numFmtId="4" fontId="2" fillId="0" borderId="0" xfId="1" applyNumberFormat="1" applyFont="1"/>
    <xf numFmtId="0" fontId="4" fillId="8" borderId="0" xfId="1" applyFont="1" applyFill="1" applyAlignment="1">
      <alignment horizontal="left"/>
    </xf>
    <xf numFmtId="0" fontId="35" fillId="8" borderId="0" xfId="0" applyFont="1" applyFill="1"/>
    <xf numFmtId="4" fontId="22" fillId="8" borderId="0" xfId="1" applyNumberFormat="1" applyFont="1" applyFill="1"/>
    <xf numFmtId="0" fontId="4" fillId="8" borderId="0" xfId="1" applyFill="1"/>
    <xf numFmtId="0" fontId="22" fillId="8" borderId="0" xfId="1" applyFont="1" applyFill="1"/>
    <xf numFmtId="0" fontId="4" fillId="8" borderId="0" xfId="1" applyFont="1" applyFill="1"/>
    <xf numFmtId="0" fontId="4" fillId="8" borderId="0" xfId="1" applyFont="1" applyFill="1" applyAlignment="1">
      <alignment horizontal="left" vertical="center"/>
    </xf>
    <xf numFmtId="0" fontId="8" fillId="8" borderId="7" xfId="1" applyFont="1" applyFill="1" applyBorder="1" applyAlignment="1">
      <alignment horizontal="center" vertical="center"/>
    </xf>
    <xf numFmtId="4" fontId="8" fillId="8" borderId="1" xfId="1" applyNumberFormat="1" applyFont="1" applyFill="1" applyBorder="1" applyAlignment="1">
      <alignment horizontal="center" vertical="center" wrapText="1"/>
    </xf>
    <xf numFmtId="0" fontId="4" fillId="8" borderId="2" xfId="1" applyFill="1" applyBorder="1" applyAlignment="1">
      <alignment horizontal="center" vertical="center"/>
    </xf>
    <xf numFmtId="4" fontId="4" fillId="8" borderId="1" xfId="1" applyNumberFormat="1" applyFill="1" applyBorder="1" applyAlignment="1">
      <alignment horizontal="center" vertical="center"/>
    </xf>
    <xf numFmtId="0" fontId="4" fillId="8" borderId="3" xfId="1" applyFill="1" applyBorder="1" applyAlignment="1">
      <alignment horizontal="center" vertical="center"/>
    </xf>
    <xf numFmtId="0" fontId="4" fillId="8" borderId="0" xfId="1" applyFill="1" applyBorder="1"/>
    <xf numFmtId="164" fontId="10" fillId="8" borderId="0" xfId="1" applyNumberFormat="1" applyFont="1" applyFill="1" applyBorder="1" applyAlignment="1">
      <alignment vertical="center"/>
    </xf>
    <xf numFmtId="0" fontId="5" fillId="8" borderId="0" xfId="1" applyFont="1" applyFill="1" applyBorder="1" applyAlignment="1">
      <alignment horizontal="left"/>
    </xf>
    <xf numFmtId="0" fontId="22" fillId="8" borderId="0" xfId="1" applyFont="1" applyFill="1" applyBorder="1"/>
    <xf numFmtId="0" fontId="9" fillId="8" borderId="0" xfId="1" applyFont="1" applyFill="1" applyBorder="1" applyAlignment="1">
      <alignment horizontal="left" vertical="center"/>
    </xf>
    <xf numFmtId="0" fontId="2" fillId="8" borderId="0" xfId="1" applyFont="1" applyFill="1" applyAlignment="1">
      <alignment horizontal="right"/>
    </xf>
    <xf numFmtId="0" fontId="9" fillId="8" borderId="17" xfId="1" applyFont="1" applyFill="1" applyBorder="1" applyAlignment="1">
      <alignment horizontal="left" vertical="center"/>
    </xf>
    <xf numFmtId="164" fontId="12" fillId="8" borderId="11" xfId="1" applyNumberFormat="1" applyFont="1" applyFill="1" applyBorder="1" applyAlignment="1">
      <alignment vertical="center"/>
    </xf>
    <xf numFmtId="0" fontId="26" fillId="8" borderId="0" xfId="0" applyFont="1" applyFill="1" applyAlignment="1">
      <alignment vertical="center"/>
    </xf>
    <xf numFmtId="0" fontId="5" fillId="8" borderId="0" xfId="1" applyFont="1" applyFill="1" applyAlignment="1">
      <alignment horizontal="left"/>
    </xf>
    <xf numFmtId="4" fontId="22" fillId="8" borderId="0" xfId="1" applyNumberFormat="1" applyFont="1" applyFill="1" applyBorder="1"/>
    <xf numFmtId="0" fontId="9" fillId="8" borderId="0" xfId="1" applyFont="1" applyFill="1" applyAlignment="1">
      <alignment horizontal="left"/>
    </xf>
    <xf numFmtId="0" fontId="4" fillId="8" borderId="0" xfId="1" applyFont="1" applyFill="1" applyAlignment="1">
      <alignment horizontal="right"/>
    </xf>
    <xf numFmtId="0" fontId="26" fillId="8" borderId="0" xfId="1" applyFont="1" applyFill="1" applyAlignment="1">
      <alignment horizontal="center"/>
    </xf>
    <xf numFmtId="0" fontId="39" fillId="8" borderId="0" xfId="1" applyFont="1" applyFill="1"/>
    <xf numFmtId="0" fontId="9" fillId="8" borderId="15" xfId="1" applyFont="1" applyFill="1" applyBorder="1" applyAlignment="1">
      <alignment horizontal="left" vertical="center"/>
    </xf>
    <xf numFmtId="4" fontId="9" fillId="8" borderId="4" xfId="1" applyNumberFormat="1" applyFont="1" applyFill="1" applyBorder="1" applyAlignment="1">
      <alignment horizontal="right" vertical="center"/>
    </xf>
    <xf numFmtId="164" fontId="9" fillId="8" borderId="5" xfId="1" applyNumberFormat="1" applyFont="1" applyFill="1" applyBorder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36" fillId="8" borderId="0" xfId="1" applyFont="1" applyFill="1"/>
    <xf numFmtId="4" fontId="36" fillId="8" borderId="0" xfId="1" applyNumberFormat="1" applyFont="1" applyFill="1"/>
    <xf numFmtId="4" fontId="35" fillId="0" borderId="0" xfId="1" applyNumberFormat="1" applyFont="1"/>
    <xf numFmtId="0" fontId="10" fillId="0" borderId="22" xfId="1" applyFont="1" applyFill="1" applyBorder="1" applyAlignment="1">
      <alignment horizontal="left" vertical="center" wrapText="1"/>
    </xf>
    <xf numFmtId="4" fontId="10" fillId="0" borderId="23" xfId="1" applyNumberFormat="1" applyFont="1" applyFill="1" applyBorder="1" applyAlignment="1">
      <alignment vertical="center"/>
    </xf>
    <xf numFmtId="4" fontId="11" fillId="0" borderId="24" xfId="1" applyNumberFormat="1" applyFont="1" applyFill="1" applyBorder="1" applyAlignment="1">
      <alignment horizontal="right" vertical="center"/>
    </xf>
    <xf numFmtId="164" fontId="10" fillId="0" borderId="25" xfId="1" applyNumberFormat="1" applyFont="1" applyFill="1" applyBorder="1" applyAlignment="1">
      <alignment vertical="center"/>
    </xf>
    <xf numFmtId="4" fontId="11" fillId="0" borderId="23" xfId="1" applyNumberFormat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 wrapText="1"/>
    </xf>
    <xf numFmtId="0" fontId="10" fillId="0" borderId="26" xfId="1" applyFont="1" applyFill="1" applyBorder="1" applyAlignment="1">
      <alignment vertical="center" wrapText="1"/>
    </xf>
    <xf numFmtId="4" fontId="11" fillId="0" borderId="28" xfId="1" applyNumberFormat="1" applyFont="1" applyFill="1" applyBorder="1" applyAlignment="1">
      <alignment horizontal="right" vertical="center"/>
    </xf>
    <xf numFmtId="4" fontId="11" fillId="0" borderId="27" xfId="1" applyNumberFormat="1" applyFont="1" applyFill="1" applyBorder="1" applyAlignment="1">
      <alignment horizontal="right" vertical="center"/>
    </xf>
    <xf numFmtId="164" fontId="10" fillId="0" borderId="29" xfId="1" applyNumberFormat="1" applyFont="1" applyFill="1" applyBorder="1" applyAlignment="1">
      <alignment vertical="center"/>
    </xf>
    <xf numFmtId="0" fontId="10" fillId="0" borderId="22" xfId="3" applyFont="1" applyFill="1" applyBorder="1" applyAlignment="1">
      <alignment horizontal="left" vertical="center" wrapText="1"/>
    </xf>
    <xf numFmtId="4" fontId="10" fillId="0" borderId="30" xfId="1" applyNumberFormat="1" applyFont="1" applyFill="1" applyBorder="1" applyAlignment="1">
      <alignment vertical="center"/>
    </xf>
    <xf numFmtId="0" fontId="10" fillId="0" borderId="22" xfId="1" applyFont="1" applyFill="1" applyBorder="1" applyAlignment="1">
      <alignment wrapText="1"/>
    </xf>
    <xf numFmtId="0" fontId="10" fillId="0" borderId="26" xfId="1" applyFont="1" applyFill="1" applyBorder="1" applyAlignment="1">
      <alignment wrapText="1"/>
    </xf>
    <xf numFmtId="4" fontId="10" fillId="0" borderId="31" xfId="1" applyNumberFormat="1" applyFont="1" applyFill="1" applyBorder="1" applyAlignment="1">
      <alignment vertical="center"/>
    </xf>
    <xf numFmtId="0" fontId="10" fillId="8" borderId="22" xfId="1" applyFont="1" applyFill="1" applyBorder="1"/>
    <xf numFmtId="4" fontId="10" fillId="8" borderId="30" xfId="1" applyNumberFormat="1" applyFont="1" applyFill="1" applyBorder="1" applyAlignment="1">
      <alignment horizontal="right"/>
    </xf>
    <xf numFmtId="4" fontId="10" fillId="8" borderId="23" xfId="1" applyNumberFormat="1" applyFont="1" applyFill="1" applyBorder="1" applyAlignment="1">
      <alignment horizontal="right"/>
    </xf>
    <xf numFmtId="164" fontId="10" fillId="8" borderId="25" xfId="1" applyNumberFormat="1" applyFont="1" applyFill="1" applyBorder="1" applyAlignment="1">
      <alignment vertical="center"/>
    </xf>
    <xf numFmtId="0" fontId="10" fillId="8" borderId="22" xfId="1" applyFont="1" applyFill="1" applyBorder="1" applyAlignment="1">
      <alignment vertical="top" wrapText="1" shrinkToFit="1"/>
    </xf>
    <xf numFmtId="0" fontId="10" fillId="8" borderId="22" xfId="1" applyFont="1" applyFill="1" applyBorder="1" applyAlignment="1">
      <alignment vertical="center" wrapText="1"/>
    </xf>
    <xf numFmtId="4" fontId="10" fillId="8" borderId="30" xfId="1" applyNumberFormat="1" applyFont="1" applyFill="1" applyBorder="1" applyAlignment="1">
      <alignment horizontal="right" vertical="center"/>
    </xf>
    <xf numFmtId="0" fontId="10" fillId="8" borderId="26" xfId="1" applyFont="1" applyFill="1" applyBorder="1" applyAlignment="1">
      <alignment vertical="center" wrapText="1"/>
    </xf>
    <xf numFmtId="4" fontId="10" fillId="8" borderId="31" xfId="1" applyNumberFormat="1" applyFont="1" applyFill="1" applyBorder="1" applyAlignment="1">
      <alignment horizontal="right"/>
    </xf>
    <xf numFmtId="4" fontId="10" fillId="8" borderId="31" xfId="1" applyNumberFormat="1" applyFont="1" applyFill="1" applyBorder="1" applyAlignment="1">
      <alignment horizontal="right" vertical="center"/>
    </xf>
    <xf numFmtId="164" fontId="10" fillId="8" borderId="29" xfId="1" applyNumberFormat="1" applyFont="1" applyFill="1" applyBorder="1" applyAlignment="1">
      <alignment vertical="center"/>
    </xf>
    <xf numFmtId="0" fontId="10" fillId="0" borderId="22" xfId="1" applyFont="1" applyFill="1" applyBorder="1"/>
    <xf numFmtId="4" fontId="10" fillId="0" borderId="23" xfId="1" applyNumberFormat="1" applyFont="1" applyFill="1" applyBorder="1" applyAlignment="1">
      <alignment horizontal="right"/>
    </xf>
    <xf numFmtId="0" fontId="7" fillId="0" borderId="0" xfId="6" applyFont="1" applyFill="1" applyAlignment="1">
      <alignment horizontal="left"/>
    </xf>
    <xf numFmtId="3" fontId="2" fillId="0" borderId="0" xfId="6" applyNumberFormat="1" applyFont="1" applyFill="1" applyAlignment="1">
      <alignment horizontal="left"/>
    </xf>
    <xf numFmtId="0" fontId="22" fillId="0" borderId="0" xfId="6" applyFont="1" applyFill="1"/>
    <xf numFmtId="4" fontId="22" fillId="0" borderId="0" xfId="6" applyNumberFormat="1" applyFont="1" applyFill="1"/>
    <xf numFmtId="0" fontId="2" fillId="0" borderId="0" xfId="6" applyFill="1"/>
    <xf numFmtId="0" fontId="3" fillId="0" borderId="0" xfId="6" applyFont="1" applyFill="1" applyAlignment="1">
      <alignment horizontal="left"/>
    </xf>
    <xf numFmtId="0" fontId="6" fillId="0" borderId="0" xfId="6" applyFont="1" applyFill="1" applyAlignment="1">
      <alignment horizontal="left"/>
    </xf>
    <xf numFmtId="0" fontId="2" fillId="0" borderId="0" xfId="6" applyFont="1" applyFill="1"/>
    <xf numFmtId="0" fontId="2" fillId="0" borderId="0" xfId="6"/>
    <xf numFmtId="0" fontId="5" fillId="0" borderId="0" xfId="6" applyFont="1" applyFill="1" applyAlignment="1">
      <alignment horizontal="left"/>
    </xf>
    <xf numFmtId="0" fontId="2" fillId="0" borderId="0" xfId="6" applyFont="1" applyAlignment="1">
      <alignment horizontal="left"/>
    </xf>
    <xf numFmtId="0" fontId="22" fillId="0" borderId="0" xfId="6" applyFont="1"/>
    <xf numFmtId="0" fontId="7" fillId="0" borderId="0" xfId="6" applyFont="1" applyFill="1" applyBorder="1" applyAlignment="1">
      <alignment horizontal="left"/>
    </xf>
    <xf numFmtId="0" fontId="9" fillId="0" borderId="0" xfId="6" applyFont="1" applyFill="1" applyAlignment="1">
      <alignment horizontal="left"/>
    </xf>
    <xf numFmtId="0" fontId="2" fillId="0" borderId="0" xfId="6" applyAlignment="1">
      <alignment horizontal="right"/>
    </xf>
    <xf numFmtId="0" fontId="2" fillId="0" borderId="0" xfId="6" applyFont="1" applyFill="1" applyAlignment="1">
      <alignment horizontal="right"/>
    </xf>
    <xf numFmtId="0" fontId="8" fillId="0" borderId="7" xfId="6" applyFont="1" applyFill="1" applyBorder="1" applyAlignment="1">
      <alignment horizontal="center" vertical="center"/>
    </xf>
    <xf numFmtId="4" fontId="8" fillId="0" borderId="1" xfId="6" applyNumberFormat="1" applyFont="1" applyFill="1" applyBorder="1" applyAlignment="1">
      <alignment horizontal="center" vertical="center" wrapText="1"/>
    </xf>
    <xf numFmtId="0" fontId="2" fillId="0" borderId="2" xfId="6" applyFill="1" applyBorder="1" applyAlignment="1">
      <alignment horizontal="center" vertical="center"/>
    </xf>
    <xf numFmtId="4" fontId="2" fillId="0" borderId="1" xfId="6" applyNumberFormat="1" applyFill="1" applyBorder="1" applyAlignment="1">
      <alignment horizontal="center" vertical="center"/>
    </xf>
    <xf numFmtId="0" fontId="2" fillId="0" borderId="3" xfId="6" applyFill="1" applyBorder="1" applyAlignment="1">
      <alignment horizontal="center" vertical="center"/>
    </xf>
    <xf numFmtId="0" fontId="9" fillId="0" borderId="15" xfId="6" applyFont="1" applyFill="1" applyBorder="1" applyAlignment="1">
      <alignment horizontal="left" vertical="center"/>
    </xf>
    <xf numFmtId="4" fontId="9" fillId="0" borderId="4" xfId="6" applyNumberFormat="1" applyFont="1" applyFill="1" applyBorder="1" applyAlignment="1">
      <alignment horizontal="right" vertical="center"/>
    </xf>
    <xf numFmtId="164" fontId="9" fillId="0" borderId="5" xfId="6" applyNumberFormat="1" applyFont="1" applyFill="1" applyBorder="1"/>
    <xf numFmtId="0" fontId="22" fillId="0" borderId="0" xfId="6" applyFont="1" applyBorder="1"/>
    <xf numFmtId="4" fontId="8" fillId="0" borderId="0" xfId="6" applyNumberFormat="1" applyFont="1" applyFill="1" applyBorder="1" applyAlignment="1">
      <alignment horizontal="center" vertical="center" wrapText="1"/>
    </xf>
    <xf numFmtId="0" fontId="2" fillId="0" borderId="0" xfId="6" applyFill="1" applyBorder="1" applyAlignment="1">
      <alignment horizontal="center" vertical="center"/>
    </xf>
    <xf numFmtId="4" fontId="2" fillId="0" borderId="0" xfId="6" applyNumberFormat="1" applyFill="1" applyBorder="1" applyAlignment="1">
      <alignment horizontal="center" vertical="center"/>
    </xf>
    <xf numFmtId="164" fontId="10" fillId="0" borderId="5" xfId="6" applyNumberFormat="1" applyFont="1" applyFill="1" applyBorder="1" applyAlignment="1">
      <alignment vertical="center"/>
    </xf>
    <xf numFmtId="0" fontId="40" fillId="0" borderId="0" xfId="6" applyFont="1"/>
    <xf numFmtId="4" fontId="11" fillId="0" borderId="33" xfId="6" applyNumberFormat="1" applyFont="1" applyFill="1" applyBorder="1" applyAlignment="1">
      <alignment vertical="center"/>
    </xf>
    <xf numFmtId="164" fontId="10" fillId="0" borderId="34" xfId="6" applyNumberFormat="1" applyFont="1" applyFill="1" applyBorder="1" applyAlignment="1">
      <alignment vertical="center"/>
    </xf>
    <xf numFmtId="4" fontId="11" fillId="0" borderId="36" xfId="6" applyNumberFormat="1" applyFont="1" applyFill="1" applyBorder="1" applyAlignment="1">
      <alignment vertical="center"/>
    </xf>
    <xf numFmtId="164" fontId="10" fillId="0" borderId="37" xfId="6" applyNumberFormat="1" applyFont="1" applyFill="1" applyBorder="1" applyAlignment="1">
      <alignment vertical="center"/>
    </xf>
    <xf numFmtId="0" fontId="2" fillId="0" borderId="0" xfId="6" applyFont="1" applyAlignment="1">
      <alignment horizontal="left" vertical="center"/>
    </xf>
    <xf numFmtId="0" fontId="40" fillId="0" borderId="0" xfId="6" applyFont="1" applyAlignment="1">
      <alignment vertical="center"/>
    </xf>
    <xf numFmtId="0" fontId="2" fillId="0" borderId="0" xfId="6" applyFont="1" applyFill="1" applyAlignment="1">
      <alignment horizontal="left" vertical="center"/>
    </xf>
    <xf numFmtId="0" fontId="22" fillId="0" borderId="0" xfId="6" applyFont="1" applyFill="1" applyAlignment="1">
      <alignment vertical="center"/>
    </xf>
    <xf numFmtId="4" fontId="9" fillId="0" borderId="0" xfId="6" applyNumberFormat="1" applyFont="1" applyFill="1"/>
    <xf numFmtId="0" fontId="2" fillId="0" borderId="0" xfId="6" applyFont="1" applyFill="1" applyAlignment="1">
      <alignment vertical="center"/>
    </xf>
    <xf numFmtId="4" fontId="11" fillId="0" borderId="4" xfId="6" applyNumberFormat="1" applyFont="1" applyFill="1" applyBorder="1" applyAlignment="1">
      <alignment horizontal="right" vertical="center"/>
    </xf>
    <xf numFmtId="0" fontId="22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4" fontId="22" fillId="0" borderId="0" xfId="6" applyNumberFormat="1" applyFont="1" applyAlignment="1">
      <alignment vertical="center"/>
    </xf>
    <xf numFmtId="0" fontId="43" fillId="0" borderId="0" xfId="6" applyFont="1"/>
    <xf numFmtId="4" fontId="11" fillId="0" borderId="9" xfId="6" applyNumberFormat="1" applyFont="1" applyFill="1" applyBorder="1" applyAlignment="1">
      <alignment horizontal="right" vertical="center"/>
    </xf>
    <xf numFmtId="164" fontId="10" fillId="0" borderId="6" xfId="6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vertical="center" wrapText="1"/>
    </xf>
    <xf numFmtId="4" fontId="10" fillId="0" borderId="0" xfId="6" applyNumberFormat="1" applyFont="1" applyFill="1" applyBorder="1" applyAlignment="1">
      <alignment vertical="center"/>
    </xf>
    <xf numFmtId="4" fontId="11" fillId="0" borderId="0" xfId="6" applyNumberFormat="1" applyFont="1" applyFill="1" applyBorder="1" applyAlignment="1">
      <alignment horizontal="right" vertical="center"/>
    </xf>
    <xf numFmtId="164" fontId="10" fillId="0" borderId="0" xfId="6" applyNumberFormat="1" applyFont="1" applyFill="1" applyBorder="1" applyAlignment="1">
      <alignment vertical="center"/>
    </xf>
    <xf numFmtId="0" fontId="9" fillId="2" borderId="14" xfId="6" applyFont="1" applyFill="1" applyBorder="1" applyAlignment="1">
      <alignment horizontal="left" vertical="center"/>
    </xf>
    <xf numFmtId="0" fontId="2" fillId="0" borderId="14" xfId="6" applyBorder="1"/>
    <xf numFmtId="0" fontId="2" fillId="0" borderId="14" xfId="6" applyBorder="1" applyAlignment="1">
      <alignment horizontal="right"/>
    </xf>
    <xf numFmtId="0" fontId="2" fillId="0" borderId="14" xfId="6" applyFont="1" applyFill="1" applyBorder="1" applyAlignment="1">
      <alignment horizontal="right"/>
    </xf>
    <xf numFmtId="164" fontId="12" fillId="0" borderId="5" xfId="6" applyNumberFormat="1" applyFont="1" applyFill="1" applyBorder="1" applyAlignment="1">
      <alignment vertical="center"/>
    </xf>
    <xf numFmtId="0" fontId="10" fillId="0" borderId="0" xfId="6" applyFont="1" applyFill="1" applyAlignment="1">
      <alignment horizontal="left" vertical="center"/>
    </xf>
    <xf numFmtId="0" fontId="26" fillId="0" borderId="0" xfId="6" applyFont="1" applyFill="1" applyAlignment="1">
      <alignment vertical="center"/>
    </xf>
    <xf numFmtId="0" fontId="23" fillId="0" borderId="0" xfId="6" applyFont="1"/>
    <xf numFmtId="0" fontId="10" fillId="0" borderId="0" xfId="6" applyFont="1"/>
    <xf numFmtId="164" fontId="9" fillId="0" borderId="5" xfId="6" applyNumberFormat="1" applyFont="1" applyFill="1" applyBorder="1" applyAlignment="1">
      <alignment vertical="center"/>
    </xf>
    <xf numFmtId="0" fontId="2" fillId="2" borderId="0" xfId="6" applyFill="1"/>
    <xf numFmtId="0" fontId="26" fillId="0" borderId="0" xfId="6" applyFont="1" applyFill="1" applyBorder="1" applyAlignment="1">
      <alignment horizontal="center"/>
    </xf>
    <xf numFmtId="0" fontId="2" fillId="9" borderId="0" xfId="8" applyNumberFormat="1" applyFont="1" applyFill="1" applyBorder="1" applyAlignment="1">
      <alignment horizontal="center" vertical="center" wrapText="1"/>
    </xf>
    <xf numFmtId="0" fontId="35" fillId="9" borderId="0" xfId="6" applyFont="1" applyFill="1"/>
    <xf numFmtId="0" fontId="10" fillId="2" borderId="0" xfId="7" applyFont="1" applyFill="1" applyBorder="1" applyAlignment="1">
      <alignment vertical="center" wrapText="1"/>
    </xf>
    <xf numFmtId="4" fontId="10" fillId="2" borderId="0" xfId="6" applyNumberFormat="1" applyFont="1" applyFill="1" applyBorder="1" applyAlignment="1">
      <alignment vertical="center"/>
    </xf>
    <xf numFmtId="4" fontId="41" fillId="0" borderId="0" xfId="6" applyNumberFormat="1" applyFont="1" applyFill="1"/>
    <xf numFmtId="0" fontId="26" fillId="0" borderId="0" xfId="6" applyFont="1" applyFill="1" applyAlignment="1">
      <alignment vertical="top"/>
    </xf>
    <xf numFmtId="4" fontId="28" fillId="0" borderId="0" xfId="6" applyNumberFormat="1" applyFont="1" applyFill="1" applyAlignment="1">
      <alignment vertical="top"/>
    </xf>
    <xf numFmtId="0" fontId="7" fillId="2" borderId="8" xfId="6" applyFont="1" applyFill="1" applyBorder="1" applyAlignment="1">
      <alignment vertical="center" wrapText="1"/>
    </xf>
    <xf numFmtId="4" fontId="3" fillId="2" borderId="8" xfId="6" applyNumberFormat="1" applyFont="1" applyFill="1" applyBorder="1" applyAlignment="1">
      <alignment vertical="center"/>
    </xf>
    <xf numFmtId="164" fontId="15" fillId="0" borderId="8" xfId="6" applyNumberFormat="1" applyFont="1" applyFill="1" applyBorder="1" applyAlignment="1">
      <alignment vertical="center"/>
    </xf>
    <xf numFmtId="0" fontId="7" fillId="4" borderId="0" xfId="6" applyFont="1" applyFill="1" applyAlignment="1">
      <alignment horizontal="left"/>
    </xf>
    <xf numFmtId="0" fontId="24" fillId="0" borderId="0" xfId="6" applyFont="1"/>
    <xf numFmtId="0" fontId="7" fillId="0" borderId="0" xfId="6" applyFont="1"/>
    <xf numFmtId="0" fontId="8" fillId="2" borderId="0" xfId="6" applyFont="1" applyFill="1" applyBorder="1" applyAlignment="1">
      <alignment vertical="center" wrapText="1"/>
    </xf>
    <xf numFmtId="3" fontId="11" fillId="2" borderId="0" xfId="6" applyNumberFormat="1" applyFont="1" applyFill="1" applyBorder="1" applyAlignment="1">
      <alignment horizontal="right" vertical="center"/>
    </xf>
    <xf numFmtId="4" fontId="11" fillId="2" borderId="0" xfId="6" applyNumberFormat="1" applyFont="1" applyFill="1" applyBorder="1" applyAlignment="1">
      <alignment horizontal="right" vertical="center"/>
    </xf>
    <xf numFmtId="3" fontId="10" fillId="0" borderId="0" xfId="6" applyNumberFormat="1" applyFont="1" applyFill="1" applyBorder="1" applyAlignment="1">
      <alignment horizontal="left"/>
    </xf>
    <xf numFmtId="49" fontId="2" fillId="0" borderId="0" xfId="6" applyNumberFormat="1" applyFont="1" applyFill="1" applyBorder="1" applyAlignment="1">
      <alignment horizontal="left" vertical="center"/>
    </xf>
    <xf numFmtId="0" fontId="2" fillId="0" borderId="0" xfId="6" applyFont="1"/>
    <xf numFmtId="0" fontId="10" fillId="0" borderId="15" xfId="6" applyFont="1" applyFill="1" applyBorder="1" applyAlignment="1"/>
    <xf numFmtId="4" fontId="11" fillId="0" borderId="33" xfId="6" applyNumberFormat="1" applyFont="1" applyFill="1" applyBorder="1" applyAlignment="1">
      <alignment horizontal="right" vertical="center"/>
    </xf>
    <xf numFmtId="4" fontId="11" fillId="0" borderId="36" xfId="6" applyNumberFormat="1" applyFont="1" applyFill="1" applyBorder="1" applyAlignment="1">
      <alignment horizontal="right" vertical="center"/>
    </xf>
    <xf numFmtId="4" fontId="22" fillId="0" borderId="0" xfId="6" applyNumberFormat="1" applyFont="1"/>
    <xf numFmtId="3" fontId="10" fillId="0" borderId="0" xfId="6" applyNumberFormat="1" applyFont="1" applyFill="1" applyBorder="1" applyAlignment="1">
      <alignment horizontal="left" vertical="center"/>
    </xf>
    <xf numFmtId="0" fontId="22" fillId="0" borderId="0" xfId="6" applyFont="1" applyBorder="1" applyAlignment="1">
      <alignment vertical="center"/>
    </xf>
    <xf numFmtId="0" fontId="2" fillId="0" borderId="0" xfId="6" applyBorder="1" applyAlignment="1">
      <alignment vertical="center"/>
    </xf>
    <xf numFmtId="0" fontId="9" fillId="0" borderId="17" xfId="6" applyFont="1" applyFill="1" applyBorder="1" applyAlignment="1">
      <alignment horizontal="left" vertical="center"/>
    </xf>
    <xf numFmtId="4" fontId="9" fillId="0" borderId="10" xfId="6" applyNumberFormat="1" applyFont="1" applyFill="1" applyBorder="1" applyAlignment="1">
      <alignment horizontal="right" vertical="center"/>
    </xf>
    <xf numFmtId="164" fontId="12" fillId="0" borderId="11" xfId="6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horizontal="left" vertical="center" wrapText="1"/>
    </xf>
    <xf numFmtId="4" fontId="10" fillId="0" borderId="0" xfId="6" applyNumberFormat="1" applyFont="1" applyFill="1" applyBorder="1" applyAlignment="1">
      <alignment horizontal="right" vertical="center"/>
    </xf>
    <xf numFmtId="0" fontId="40" fillId="0" borderId="0" xfId="6" applyFont="1" applyFill="1"/>
    <xf numFmtId="0" fontId="45" fillId="0" borderId="0" xfId="6" applyFont="1"/>
    <xf numFmtId="4" fontId="44" fillId="0" borderId="0" xfId="6" applyNumberFormat="1" applyFont="1" applyFill="1"/>
    <xf numFmtId="4" fontId="28" fillId="0" borderId="0" xfId="6" applyNumberFormat="1" applyFont="1" applyFill="1"/>
    <xf numFmtId="0" fontId="2" fillId="0" borderId="0" xfId="6" applyBorder="1"/>
    <xf numFmtId="0" fontId="5" fillId="0" borderId="0" xfId="6" applyFont="1" applyFill="1" applyBorder="1" applyAlignment="1">
      <alignment horizontal="left"/>
    </xf>
    <xf numFmtId="4" fontId="10" fillId="0" borderId="33" xfId="6" applyNumberFormat="1" applyFont="1" applyFill="1" applyBorder="1" applyAlignment="1">
      <alignment horizontal="right" vertical="center"/>
    </xf>
    <xf numFmtId="0" fontId="2" fillId="0" borderId="0" xfId="6" applyFont="1" applyFill="1" applyAlignment="1">
      <alignment horizontal="left"/>
    </xf>
    <xf numFmtId="4" fontId="10" fillId="0" borderId="36" xfId="6" applyNumberFormat="1" applyFont="1" applyFill="1" applyBorder="1" applyAlignment="1">
      <alignment horizontal="right" vertical="center"/>
    </xf>
    <xf numFmtId="4" fontId="47" fillId="0" borderId="0" xfId="6" applyNumberFormat="1" applyFont="1"/>
    <xf numFmtId="4" fontId="10" fillId="0" borderId="9" xfId="6" applyNumberFormat="1" applyFont="1" applyFill="1" applyBorder="1" applyAlignment="1">
      <alignment horizontal="right"/>
    </xf>
    <xf numFmtId="0" fontId="10" fillId="0" borderId="0" xfId="6" applyFont="1" applyBorder="1"/>
    <xf numFmtId="4" fontId="10" fillId="0" borderId="0" xfId="6" applyNumberFormat="1" applyFont="1" applyFill="1" applyBorder="1" applyAlignment="1">
      <alignment horizontal="right"/>
    </xf>
    <xf numFmtId="4" fontId="10" fillId="0" borderId="4" xfId="6" applyNumberFormat="1" applyFont="1" applyFill="1" applyBorder="1" applyAlignment="1">
      <alignment horizontal="right"/>
    </xf>
    <xf numFmtId="4" fontId="25" fillId="0" borderId="0" xfId="6" applyNumberFormat="1" applyFont="1" applyBorder="1"/>
    <xf numFmtId="0" fontId="7" fillId="6" borderId="0" xfId="6" applyFont="1" applyFill="1" applyAlignment="1">
      <alignment horizontal="left"/>
    </xf>
    <xf numFmtId="0" fontId="7" fillId="2" borderId="0" xfId="6" applyFont="1" applyFill="1" applyBorder="1" applyAlignment="1">
      <alignment vertical="center" wrapText="1"/>
    </xf>
    <xf numFmtId="4" fontId="3" fillId="2" borderId="0" xfId="6" applyNumberFormat="1" applyFont="1" applyFill="1" applyBorder="1" applyAlignment="1">
      <alignment vertical="center"/>
    </xf>
    <xf numFmtId="164" fontId="15" fillId="0" borderId="0" xfId="6" applyNumberFormat="1" applyFont="1" applyFill="1" applyBorder="1" applyAlignment="1">
      <alignment vertical="center"/>
    </xf>
    <xf numFmtId="4" fontId="9" fillId="0" borderId="13" xfId="6" applyNumberFormat="1" applyFont="1" applyFill="1" applyBorder="1" applyAlignment="1">
      <alignment horizontal="right" vertical="center"/>
    </xf>
    <xf numFmtId="0" fontId="10" fillId="8" borderId="15" xfId="6" applyFont="1" applyFill="1" applyBorder="1" applyAlignment="1">
      <alignment vertical="center" wrapText="1"/>
    </xf>
    <xf numFmtId="4" fontId="10" fillId="8" borderId="13" xfId="6" applyNumberFormat="1" applyFont="1" applyFill="1" applyBorder="1" applyAlignment="1">
      <alignment horizontal="right"/>
    </xf>
    <xf numFmtId="4" fontId="10" fillId="8" borderId="13" xfId="6" applyNumberFormat="1" applyFont="1" applyFill="1" applyBorder="1" applyAlignment="1">
      <alignment horizontal="right" vertical="center"/>
    </xf>
    <xf numFmtId="164" fontId="10" fillId="8" borderId="5" xfId="6" applyNumberFormat="1" applyFont="1" applyFill="1" applyBorder="1" applyAlignment="1">
      <alignment vertical="center"/>
    </xf>
    <xf numFmtId="0" fontId="2" fillId="8" borderId="0" xfId="6" applyFont="1" applyFill="1" applyAlignment="1">
      <alignment horizontal="left" vertical="center"/>
    </xf>
    <xf numFmtId="0" fontId="34" fillId="8" borderId="0" xfId="6" applyFont="1" applyFill="1"/>
    <xf numFmtId="0" fontId="22" fillId="8" borderId="0" xfId="6" applyFont="1" applyFill="1"/>
    <xf numFmtId="0" fontId="2" fillId="8" borderId="0" xfId="6" applyFont="1" applyFill="1"/>
    <xf numFmtId="4" fontId="10" fillId="8" borderId="38" xfId="6" applyNumberFormat="1" applyFont="1" applyFill="1" applyBorder="1" applyAlignment="1">
      <alignment horizontal="right"/>
    </xf>
    <xf numFmtId="4" fontId="10" fillId="8" borderId="38" xfId="6" applyNumberFormat="1" applyFont="1" applyFill="1" applyBorder="1" applyAlignment="1">
      <alignment horizontal="right" vertical="center"/>
    </xf>
    <xf numFmtId="164" fontId="10" fillId="8" borderId="34" xfId="6" applyNumberFormat="1" applyFont="1" applyFill="1" applyBorder="1" applyAlignment="1">
      <alignment vertical="center"/>
    </xf>
    <xf numFmtId="4" fontId="10" fillId="8" borderId="39" xfId="6" applyNumberFormat="1" applyFont="1" applyFill="1" applyBorder="1" applyAlignment="1">
      <alignment horizontal="right"/>
    </xf>
    <xf numFmtId="4" fontId="10" fillId="8" borderId="39" xfId="6" applyNumberFormat="1" applyFont="1" applyFill="1" applyBorder="1" applyAlignment="1">
      <alignment horizontal="right" vertical="center"/>
    </xf>
    <xf numFmtId="164" fontId="10" fillId="8" borderId="37" xfId="6" applyNumberFormat="1" applyFont="1" applyFill="1" applyBorder="1" applyAlignment="1">
      <alignment vertical="center"/>
    </xf>
    <xf numFmtId="4" fontId="11" fillId="8" borderId="4" xfId="6" applyNumberFormat="1" applyFont="1" applyFill="1" applyBorder="1" applyAlignment="1">
      <alignment horizontal="right" vertical="center"/>
    </xf>
    <xf numFmtId="0" fontId="2" fillId="8" borderId="0" xfId="6" applyFont="1" applyFill="1" applyAlignment="1">
      <alignment horizontal="left"/>
    </xf>
    <xf numFmtId="0" fontId="2" fillId="8" borderId="0" xfId="6" applyFont="1" applyFill="1" applyAlignment="1">
      <alignment vertical="center"/>
    </xf>
    <xf numFmtId="4" fontId="11" fillId="8" borderId="33" xfId="6" applyNumberFormat="1" applyFont="1" applyFill="1" applyBorder="1" applyAlignment="1">
      <alignment horizontal="right" vertical="center"/>
    </xf>
    <xf numFmtId="4" fontId="11" fillId="8" borderId="36" xfId="6" applyNumberFormat="1" applyFont="1" applyFill="1" applyBorder="1" applyAlignment="1">
      <alignment horizontal="right" vertical="center"/>
    </xf>
    <xf numFmtId="4" fontId="22" fillId="8" borderId="0" xfId="6" applyNumberFormat="1" applyFont="1" applyFill="1" applyAlignment="1">
      <alignment vertical="center"/>
    </xf>
    <xf numFmtId="164" fontId="10" fillId="8" borderId="6" xfId="6" applyNumberFormat="1" applyFont="1" applyFill="1" applyBorder="1" applyAlignment="1">
      <alignment vertical="center"/>
    </xf>
    <xf numFmtId="0" fontId="2" fillId="8" borderId="0" xfId="6" applyFill="1" applyBorder="1"/>
    <xf numFmtId="164" fontId="10" fillId="8" borderId="0" xfId="6" applyNumberFormat="1" applyFont="1" applyFill="1" applyBorder="1" applyAlignment="1">
      <alignment vertical="center"/>
    </xf>
    <xf numFmtId="0" fontId="5" fillId="8" borderId="0" xfId="6" applyFont="1" applyFill="1" applyBorder="1" applyAlignment="1">
      <alignment horizontal="left"/>
    </xf>
    <xf numFmtId="0" fontId="22" fillId="8" borderId="0" xfId="6" applyFont="1" applyFill="1" applyBorder="1"/>
    <xf numFmtId="0" fontId="9" fillId="8" borderId="0" xfId="6" applyFont="1" applyFill="1" applyBorder="1" applyAlignment="1">
      <alignment horizontal="left" vertical="center"/>
    </xf>
    <xf numFmtId="0" fontId="2" fillId="8" borderId="0" xfId="6" applyFill="1"/>
    <xf numFmtId="0" fontId="2" fillId="8" borderId="0" xfId="6" applyFont="1" applyFill="1" applyAlignment="1">
      <alignment horizontal="right"/>
    </xf>
    <xf numFmtId="0" fontId="8" fillId="8" borderId="7" xfId="6" applyFont="1" applyFill="1" applyBorder="1" applyAlignment="1">
      <alignment horizontal="center" vertical="center"/>
    </xf>
    <xf numFmtId="0" fontId="2" fillId="8" borderId="2" xfId="6" applyFill="1" applyBorder="1" applyAlignment="1">
      <alignment horizontal="center" vertical="center"/>
    </xf>
    <xf numFmtId="4" fontId="2" fillId="8" borderId="1" xfId="6" applyNumberFormat="1" applyFill="1" applyBorder="1" applyAlignment="1">
      <alignment horizontal="center" vertical="center"/>
    </xf>
    <xf numFmtId="0" fontId="2" fillId="8" borderId="3" xfId="6" applyFill="1" applyBorder="1" applyAlignment="1">
      <alignment horizontal="center" vertical="center"/>
    </xf>
    <xf numFmtId="0" fontId="9" fillId="8" borderId="17" xfId="6" applyFont="1" applyFill="1" applyBorder="1" applyAlignment="1">
      <alignment horizontal="left" vertical="center"/>
    </xf>
    <xf numFmtId="4" fontId="9" fillId="8" borderId="20" xfId="6" applyNumberFormat="1" applyFont="1" applyFill="1" applyBorder="1" applyAlignment="1">
      <alignment horizontal="right" vertical="center"/>
    </xf>
    <xf numFmtId="164" fontId="12" fillId="8" borderId="11" xfId="6" applyNumberFormat="1" applyFont="1" applyFill="1" applyBorder="1" applyAlignment="1">
      <alignment vertical="center"/>
    </xf>
    <xf numFmtId="0" fontId="26" fillId="8" borderId="0" xfId="6" applyFont="1" applyFill="1" applyAlignment="1">
      <alignment vertical="center"/>
    </xf>
    <xf numFmtId="4" fontId="10" fillId="8" borderId="33" xfId="6" applyNumberFormat="1" applyFont="1" applyFill="1" applyBorder="1"/>
    <xf numFmtId="0" fontId="10" fillId="8" borderId="35" xfId="6" applyFont="1" applyFill="1" applyBorder="1" applyAlignment="1">
      <alignment horizontal="left" vertical="center"/>
    </xf>
    <xf numFmtId="4" fontId="10" fillId="8" borderId="36" xfId="6" applyNumberFormat="1" applyFont="1" applyFill="1" applyBorder="1"/>
    <xf numFmtId="4" fontId="10" fillId="8" borderId="4" xfId="6" applyNumberFormat="1" applyFont="1" applyFill="1" applyBorder="1"/>
    <xf numFmtId="0" fontId="10" fillId="8" borderId="0" xfId="6" applyFont="1" applyFill="1" applyBorder="1" applyAlignment="1">
      <alignment horizontal="left" vertical="center"/>
    </xf>
    <xf numFmtId="0" fontId="5" fillId="8" borderId="0" xfId="6" applyFont="1" applyFill="1" applyAlignment="1">
      <alignment horizontal="left"/>
    </xf>
    <xf numFmtId="4" fontId="6" fillId="0" borderId="0" xfId="6" applyNumberFormat="1" applyFont="1" applyFill="1"/>
    <xf numFmtId="0" fontId="7" fillId="3" borderId="0" xfId="6" applyFont="1" applyFill="1" applyAlignment="1">
      <alignment horizontal="left"/>
    </xf>
    <xf numFmtId="4" fontId="10" fillId="0" borderId="13" xfId="6" applyNumberFormat="1" applyFont="1" applyFill="1" applyBorder="1" applyAlignment="1">
      <alignment vertical="center"/>
    </xf>
    <xf numFmtId="1" fontId="10" fillId="0" borderId="0" xfId="6" applyNumberFormat="1" applyFont="1" applyFill="1" applyBorder="1" applyAlignment="1">
      <alignment horizontal="left" vertical="center"/>
    </xf>
    <xf numFmtId="0" fontId="23" fillId="0" borderId="0" xfId="6" applyFont="1" applyFill="1" applyAlignment="1">
      <alignment vertical="center"/>
    </xf>
    <xf numFmtId="0" fontId="10" fillId="0" borderId="0" xfId="6" applyFont="1" applyFill="1" applyAlignment="1">
      <alignment vertical="center"/>
    </xf>
    <xf numFmtId="0" fontId="10" fillId="0" borderId="0" xfId="6" applyFont="1" applyAlignment="1">
      <alignment vertical="center"/>
    </xf>
    <xf numFmtId="4" fontId="10" fillId="0" borderId="38" xfId="6" applyNumberFormat="1" applyFont="1" applyFill="1" applyBorder="1" applyAlignment="1">
      <alignment vertical="center"/>
    </xf>
    <xf numFmtId="0" fontId="42" fillId="0" borderId="0" xfId="6" applyFont="1"/>
    <xf numFmtId="0" fontId="23" fillId="0" borderId="0" xfId="6" applyFont="1" applyAlignment="1">
      <alignment vertical="center"/>
    </xf>
    <xf numFmtId="0" fontId="10" fillId="0" borderId="35" xfId="6" applyFont="1" applyFill="1" applyBorder="1" applyAlignment="1">
      <alignment vertical="center" wrapText="1"/>
    </xf>
    <xf numFmtId="4" fontId="10" fillId="0" borderId="39" xfId="6" applyNumberFormat="1" applyFont="1" applyFill="1" applyBorder="1" applyAlignment="1">
      <alignment vertical="center"/>
    </xf>
    <xf numFmtId="4" fontId="23" fillId="0" borderId="0" xfId="6" applyNumberFormat="1" applyFont="1" applyAlignment="1">
      <alignment vertical="center"/>
    </xf>
    <xf numFmtId="4" fontId="12" fillId="0" borderId="0" xfId="6" applyNumberFormat="1" applyFont="1" applyAlignment="1">
      <alignment vertical="center"/>
    </xf>
    <xf numFmtId="0" fontId="2" fillId="0" borderId="0" xfId="6" applyFill="1" applyAlignment="1">
      <alignment horizontal="right"/>
    </xf>
    <xf numFmtId="4" fontId="2" fillId="0" borderId="0" xfId="6" applyNumberFormat="1" applyFill="1" applyAlignment="1">
      <alignment horizontal="right"/>
    </xf>
    <xf numFmtId="0" fontId="8" fillId="0" borderId="19" xfId="6" applyFont="1" applyFill="1" applyBorder="1" applyAlignment="1">
      <alignment horizontal="center" vertical="center"/>
    </xf>
    <xf numFmtId="4" fontId="9" fillId="0" borderId="10" xfId="6" applyNumberFormat="1" applyFont="1" applyFill="1" applyBorder="1" applyAlignment="1">
      <alignment horizontal="right"/>
    </xf>
    <xf numFmtId="164" fontId="12" fillId="0" borderId="40" xfId="6" applyNumberFormat="1" applyFont="1" applyFill="1" applyBorder="1" applyAlignment="1">
      <alignment vertical="center"/>
    </xf>
    <xf numFmtId="164" fontId="10" fillId="0" borderId="41" xfId="6" applyNumberFormat="1" applyFont="1" applyFill="1" applyBorder="1" applyAlignment="1">
      <alignment vertical="center"/>
    </xf>
    <xf numFmtId="0" fontId="2" fillId="0" borderId="0" xfId="6" applyFont="1" applyFill="1" applyBorder="1" applyAlignment="1">
      <alignment horizontal="left"/>
    </xf>
    <xf numFmtId="4" fontId="10" fillId="0" borderId="36" xfId="6" applyNumberFormat="1" applyFont="1" applyFill="1" applyBorder="1" applyAlignment="1">
      <alignment horizontal="right"/>
    </xf>
    <xf numFmtId="4" fontId="10" fillId="0" borderId="33" xfId="6" applyNumberFormat="1" applyFont="1" applyFill="1" applyBorder="1" applyAlignment="1">
      <alignment horizontal="right"/>
    </xf>
    <xf numFmtId="0" fontId="7" fillId="2" borderId="8" xfId="6" applyFont="1" applyFill="1" applyBorder="1" applyAlignment="1">
      <alignment horizontal="left" vertical="center"/>
    </xf>
    <xf numFmtId="4" fontId="3" fillId="2" borderId="8" xfId="6" applyNumberFormat="1" applyFont="1" applyFill="1" applyBorder="1" applyAlignment="1">
      <alignment horizontal="right" vertical="center"/>
    </xf>
    <xf numFmtId="0" fontId="9" fillId="0" borderId="12" xfId="6" applyFont="1" applyFill="1" applyBorder="1" applyAlignment="1">
      <alignment horizontal="left" vertical="center"/>
    </xf>
    <xf numFmtId="4" fontId="9" fillId="0" borderId="4" xfId="6" applyNumberFormat="1" applyFont="1" applyFill="1" applyBorder="1" applyAlignment="1">
      <alignment horizontal="right"/>
    </xf>
    <xf numFmtId="0" fontId="16" fillId="0" borderId="18" xfId="6" applyFont="1" applyFill="1" applyBorder="1" applyAlignment="1">
      <alignment horizontal="left"/>
    </xf>
    <xf numFmtId="0" fontId="9" fillId="0" borderId="0" xfId="6" applyFont="1" applyFill="1" applyBorder="1" applyAlignment="1">
      <alignment horizontal="left"/>
    </xf>
    <xf numFmtId="4" fontId="9" fillId="0" borderId="0" xfId="6" applyNumberFormat="1" applyFont="1" applyFill="1" applyBorder="1" applyAlignment="1">
      <alignment horizontal="right"/>
    </xf>
    <xf numFmtId="164" fontId="9" fillId="0" borderId="0" xfId="6" applyNumberFormat="1" applyFont="1" applyFill="1" applyBorder="1" applyAlignment="1">
      <alignment horizontal="right"/>
    </xf>
    <xf numFmtId="0" fontId="7" fillId="2" borderId="0" xfId="6" applyFont="1" applyFill="1" applyBorder="1" applyAlignment="1">
      <alignment horizontal="left" vertical="center"/>
    </xf>
    <xf numFmtId="4" fontId="3" fillId="2" borderId="0" xfId="6" applyNumberFormat="1" applyFont="1" applyFill="1" applyBorder="1" applyAlignment="1">
      <alignment horizontal="right" vertical="center"/>
    </xf>
    <xf numFmtId="164" fontId="15" fillId="0" borderId="0" xfId="6" applyNumberFormat="1" applyFont="1" applyFill="1" applyBorder="1" applyAlignment="1">
      <alignment horizontal="right" vertical="center"/>
    </xf>
    <xf numFmtId="4" fontId="2" fillId="0" borderId="0" xfId="6" applyNumberFormat="1"/>
    <xf numFmtId="0" fontId="25" fillId="0" borderId="0" xfId="6" applyFont="1"/>
    <xf numFmtId="4" fontId="10" fillId="0" borderId="0" xfId="6" applyNumberFormat="1" applyFont="1" applyFill="1" applyBorder="1"/>
    <xf numFmtId="0" fontId="2" fillId="4" borderId="0" xfId="6" applyFont="1" applyFill="1" applyAlignment="1">
      <alignment horizontal="left"/>
    </xf>
    <xf numFmtId="0" fontId="2" fillId="5" borderId="0" xfId="6" applyFont="1" applyFill="1" applyAlignment="1">
      <alignment horizontal="left"/>
    </xf>
    <xf numFmtId="0" fontId="13" fillId="0" borderId="0" xfId="6" applyFont="1" applyFill="1" applyBorder="1" applyAlignment="1">
      <alignment horizontal="left"/>
    </xf>
    <xf numFmtId="0" fontId="14" fillId="0" borderId="0" xfId="6" applyFont="1" applyFill="1" applyBorder="1"/>
    <xf numFmtId="0" fontId="2" fillId="3" borderId="0" xfId="6" applyFont="1" applyFill="1" applyAlignment="1">
      <alignment horizontal="left"/>
    </xf>
    <xf numFmtId="0" fontId="14" fillId="0" borderId="0" xfId="6" applyFont="1" applyFill="1" applyBorder="1" applyAlignment="1">
      <alignment horizontal="left"/>
    </xf>
    <xf numFmtId="164" fontId="14" fillId="0" borderId="0" xfId="6" applyNumberFormat="1" applyFont="1" applyFill="1" applyBorder="1"/>
    <xf numFmtId="0" fontId="2" fillId="6" borderId="0" xfId="6" applyFont="1" applyFill="1" applyAlignment="1">
      <alignment horizontal="left"/>
    </xf>
    <xf numFmtId="0" fontId="2" fillId="7" borderId="0" xfId="6" applyFont="1" applyFill="1" applyAlignment="1">
      <alignment horizontal="left"/>
    </xf>
    <xf numFmtId="0" fontId="15" fillId="0" borderId="8" xfId="6" applyFont="1" applyFill="1" applyBorder="1" applyAlignment="1">
      <alignment horizontal="left"/>
    </xf>
    <xf numFmtId="4" fontId="12" fillId="0" borderId="8" xfId="6" applyNumberFormat="1" applyFont="1" applyFill="1" applyBorder="1"/>
    <xf numFmtId="164" fontId="12" fillId="0" borderId="8" xfId="6" applyNumberFormat="1" applyFont="1" applyFill="1" applyBorder="1"/>
    <xf numFmtId="4" fontId="40" fillId="0" borderId="0" xfId="6" applyNumberFormat="1" applyFont="1"/>
    <xf numFmtId="0" fontId="39" fillId="0" borderId="0" xfId="6" applyFont="1"/>
    <xf numFmtId="4" fontId="45" fillId="0" borderId="0" xfId="6" applyNumberFormat="1" applyFont="1" applyFill="1"/>
    <xf numFmtId="4" fontId="26" fillId="0" borderId="0" xfId="6" applyNumberFormat="1" applyFont="1" applyFill="1"/>
    <xf numFmtId="4" fontId="6" fillId="0" borderId="0" xfId="6" applyNumberFormat="1" applyFont="1"/>
    <xf numFmtId="0" fontId="2" fillId="0" borderId="0" xfId="6" applyFill="1" applyBorder="1" applyAlignment="1">
      <alignment horizontal="center"/>
    </xf>
    <xf numFmtId="4" fontId="6" fillId="0" borderId="0" xfId="6" applyNumberFormat="1" applyFont="1" applyFill="1" applyBorder="1" applyAlignment="1">
      <alignment horizontal="right"/>
    </xf>
    <xf numFmtId="0" fontId="2" fillId="0" borderId="0" xfId="6" applyFont="1" applyFill="1" applyBorder="1" applyAlignment="1">
      <alignment horizontal="center"/>
    </xf>
    <xf numFmtId="4" fontId="2" fillId="0" borderId="0" xfId="6" applyNumberFormat="1" applyFill="1" applyBorder="1" applyAlignment="1">
      <alignment horizontal="right"/>
    </xf>
    <xf numFmtId="0" fontId="2" fillId="0" borderId="0" xfId="6" applyFont="1" applyFill="1" applyAlignment="1">
      <alignment horizontal="center"/>
    </xf>
    <xf numFmtId="4" fontId="10" fillId="8" borderId="9" xfId="6" applyNumberFormat="1" applyFont="1" applyFill="1" applyBorder="1"/>
    <xf numFmtId="0" fontId="10" fillId="0" borderId="26" xfId="6" applyFont="1" applyFill="1" applyBorder="1" applyAlignment="1">
      <alignment horizontal="left" vertical="center"/>
    </xf>
    <xf numFmtId="4" fontId="10" fillId="0" borderId="27" xfId="6" applyNumberFormat="1" applyFont="1" applyFill="1" applyBorder="1" applyAlignment="1">
      <alignment horizontal="right" vertical="center"/>
    </xf>
    <xf numFmtId="164" fontId="10" fillId="0" borderId="29" xfId="6" applyNumberFormat="1" applyFont="1" applyFill="1" applyBorder="1" applyAlignment="1">
      <alignment vertical="center"/>
    </xf>
    <xf numFmtId="4" fontId="3" fillId="8" borderId="8" xfId="6" applyNumberFormat="1" applyFont="1" applyFill="1" applyBorder="1" applyAlignment="1">
      <alignment vertical="center"/>
    </xf>
    <xf numFmtId="0" fontId="48" fillId="0" borderId="0" xfId="1" applyFont="1" applyAlignment="1">
      <alignment vertical="center"/>
    </xf>
    <xf numFmtId="4" fontId="49" fillId="0" borderId="0" xfId="6" applyNumberFormat="1" applyFont="1" applyFill="1"/>
    <xf numFmtId="4" fontId="34" fillId="8" borderId="0" xfId="6" applyNumberFormat="1" applyFont="1" applyFill="1" applyBorder="1"/>
    <xf numFmtId="4" fontId="50" fillId="8" borderId="0" xfId="6" applyNumberFormat="1" applyFont="1" applyFill="1" applyBorder="1"/>
    <xf numFmtId="0" fontId="50" fillId="8" borderId="0" xfId="6" applyFont="1" applyFill="1"/>
    <xf numFmtId="0" fontId="50" fillId="0" borderId="0" xfId="6" applyFont="1"/>
    <xf numFmtId="0" fontId="51" fillId="0" borderId="0" xfId="6" applyFont="1"/>
    <xf numFmtId="4" fontId="51" fillId="0" borderId="0" xfId="6" applyNumberFormat="1" applyFont="1"/>
    <xf numFmtId="0" fontId="52" fillId="0" borderId="0" xfId="6" applyFont="1"/>
    <xf numFmtId="4" fontId="52" fillId="0" borderId="0" xfId="6" applyNumberFormat="1" applyFont="1"/>
    <xf numFmtId="0" fontId="53" fillId="0" borderId="0" xfId="6" applyFont="1" applyAlignment="1">
      <alignment vertical="center"/>
    </xf>
    <xf numFmtId="0" fontId="53" fillId="8" borderId="0" xfId="6" applyFont="1" applyFill="1" applyAlignment="1">
      <alignment vertical="center"/>
    </xf>
    <xf numFmtId="0" fontId="53" fillId="8" borderId="0" xfId="6" applyFont="1" applyFill="1"/>
    <xf numFmtId="0" fontId="54" fillId="0" borderId="0" xfId="6" applyFont="1"/>
    <xf numFmtId="4" fontId="53" fillId="0" borderId="0" xfId="6" applyNumberFormat="1" applyFont="1"/>
    <xf numFmtId="4" fontId="22" fillId="8" borderId="0" xfId="6" applyNumberFormat="1" applyFont="1" applyFill="1"/>
    <xf numFmtId="4" fontId="23" fillId="0" borderId="0" xfId="6" applyNumberFormat="1" applyFont="1"/>
    <xf numFmtId="4" fontId="2" fillId="8" borderId="0" xfId="6" applyNumberFormat="1" applyFont="1" applyFill="1"/>
    <xf numFmtId="4" fontId="10" fillId="0" borderId="0" xfId="6" applyNumberFormat="1" applyFont="1"/>
    <xf numFmtId="4" fontId="10" fillId="8" borderId="23" xfId="1" applyNumberFormat="1" applyFont="1" applyFill="1" applyBorder="1" applyAlignment="1">
      <alignment vertical="center"/>
    </xf>
    <xf numFmtId="4" fontId="10" fillId="8" borderId="27" xfId="1" applyNumberFormat="1" applyFont="1" applyFill="1" applyBorder="1" applyAlignment="1">
      <alignment vertical="center"/>
    </xf>
    <xf numFmtId="4" fontId="10" fillId="0" borderId="27" xfId="1" applyNumberFormat="1" applyFont="1" applyFill="1" applyBorder="1" applyAlignment="1">
      <alignment vertical="center"/>
    </xf>
    <xf numFmtId="0" fontId="10" fillId="0" borderId="43" xfId="1" applyFont="1" applyFill="1" applyBorder="1" applyAlignment="1">
      <alignment vertical="center" wrapText="1"/>
    </xf>
    <xf numFmtId="4" fontId="10" fillId="0" borderId="44" xfId="1" applyNumberFormat="1" applyFont="1" applyFill="1" applyBorder="1" applyAlignment="1">
      <alignment vertical="center"/>
    </xf>
    <xf numFmtId="164" fontId="10" fillId="0" borderId="45" xfId="1" applyNumberFormat="1" applyFont="1" applyFill="1" applyBorder="1" applyAlignment="1">
      <alignment vertical="center"/>
    </xf>
    <xf numFmtId="4" fontId="10" fillId="0" borderId="30" xfId="1" applyNumberFormat="1" applyFont="1" applyFill="1" applyBorder="1" applyAlignment="1">
      <alignment horizontal="right" vertical="center"/>
    </xf>
    <xf numFmtId="0" fontId="10" fillId="0" borderId="26" xfId="1" applyFont="1" applyFill="1" applyBorder="1" applyAlignment="1">
      <alignment horizontal="left" vertical="center" wrapText="1"/>
    </xf>
    <xf numFmtId="4" fontId="10" fillId="0" borderId="31" xfId="1" applyNumberFormat="1" applyFont="1" applyFill="1" applyBorder="1" applyAlignment="1">
      <alignment horizontal="right" vertical="center"/>
    </xf>
    <xf numFmtId="0" fontId="10" fillId="0" borderId="43" xfId="1" applyFont="1" applyFill="1" applyBorder="1" applyAlignment="1">
      <alignment horizontal="left" vertical="center" wrapText="1"/>
    </xf>
    <xf numFmtId="4" fontId="10" fillId="0" borderId="46" xfId="1" applyNumberFormat="1" applyFont="1" applyFill="1" applyBorder="1" applyAlignment="1">
      <alignment horizontal="right" vertical="center"/>
    </xf>
    <xf numFmtId="4" fontId="10" fillId="0" borderId="23" xfId="1" applyNumberFormat="1" applyFont="1" applyFill="1" applyBorder="1" applyAlignment="1">
      <alignment horizontal="right" vertical="center"/>
    </xf>
    <xf numFmtId="0" fontId="10" fillId="0" borderId="26" xfId="1" applyFont="1" applyFill="1" applyBorder="1"/>
    <xf numFmtId="4" fontId="10" fillId="0" borderId="27" xfId="1" applyNumberFormat="1" applyFont="1" applyFill="1" applyBorder="1" applyAlignment="1">
      <alignment horizontal="right"/>
    </xf>
    <xf numFmtId="0" fontId="10" fillId="8" borderId="22" xfId="1" applyFont="1" applyFill="1" applyBorder="1" applyAlignment="1">
      <alignment horizontal="left" vertical="center"/>
    </xf>
    <xf numFmtId="4" fontId="10" fillId="8" borderId="23" xfId="1" applyNumberFormat="1" applyFont="1" applyFill="1" applyBorder="1"/>
    <xf numFmtId="0" fontId="10" fillId="8" borderId="22" xfId="1" applyFont="1" applyFill="1" applyBorder="1" applyAlignment="1">
      <alignment horizontal="left" vertical="center" wrapText="1"/>
    </xf>
    <xf numFmtId="0" fontId="10" fillId="8" borderId="26" xfId="1" applyFont="1" applyFill="1" applyBorder="1" applyAlignment="1">
      <alignment horizontal="left" vertical="center"/>
    </xf>
    <xf numFmtId="4" fontId="10" fillId="8" borderId="27" xfId="1" applyNumberFormat="1" applyFont="1" applyFill="1" applyBorder="1"/>
    <xf numFmtId="4" fontId="10" fillId="0" borderId="23" xfId="1" applyNumberFormat="1" applyFont="1" applyFill="1" applyBorder="1"/>
    <xf numFmtId="4" fontId="10" fillId="0" borderId="30" xfId="1" applyNumberFormat="1" applyFont="1" applyFill="1" applyBorder="1"/>
    <xf numFmtId="4" fontId="10" fillId="0" borderId="27" xfId="1" applyNumberFormat="1" applyFont="1" applyFill="1" applyBorder="1"/>
    <xf numFmtId="0" fontId="10" fillId="0" borderId="22" xfId="6" applyFont="1" applyFill="1" applyBorder="1" applyAlignment="1">
      <alignment vertical="center" wrapText="1"/>
    </xf>
    <xf numFmtId="4" fontId="11" fillId="0" borderId="23" xfId="6" applyNumberFormat="1" applyFont="1" applyFill="1" applyBorder="1" applyAlignment="1">
      <alignment vertical="center"/>
    </xf>
    <xf numFmtId="164" fontId="10" fillId="0" borderId="25" xfId="6" applyNumberFormat="1" applyFont="1" applyFill="1" applyBorder="1" applyAlignment="1">
      <alignment vertical="center"/>
    </xf>
    <xf numFmtId="4" fontId="11" fillId="0" borderId="23" xfId="6" applyNumberFormat="1" applyFont="1" applyFill="1" applyBorder="1" applyAlignment="1">
      <alignment horizontal="right" vertical="center"/>
    </xf>
    <xf numFmtId="0" fontId="10" fillId="0" borderId="26" xfId="6" applyFont="1" applyFill="1" applyBorder="1" applyAlignment="1">
      <alignment vertical="center" wrapText="1"/>
    </xf>
    <xf numFmtId="4" fontId="11" fillId="0" borderId="27" xfId="6" applyNumberFormat="1" applyFont="1" applyFill="1" applyBorder="1" applyAlignment="1">
      <alignment horizontal="right" vertical="center"/>
    </xf>
    <xf numFmtId="0" fontId="10" fillId="0" borderId="22" xfId="6" applyFont="1" applyFill="1" applyBorder="1" applyAlignment="1">
      <alignment wrapText="1"/>
    </xf>
    <xf numFmtId="0" fontId="10" fillId="8" borderId="22" xfId="6" applyFont="1" applyFill="1" applyBorder="1" applyAlignment="1">
      <alignment vertical="center" wrapText="1"/>
    </xf>
    <xf numFmtId="4" fontId="10" fillId="8" borderId="30" xfId="6" applyNumberFormat="1" applyFont="1" applyFill="1" applyBorder="1" applyAlignment="1">
      <alignment horizontal="right"/>
    </xf>
    <xf numFmtId="4" fontId="10" fillId="8" borderId="30" xfId="6" applyNumberFormat="1" applyFont="1" applyFill="1" applyBorder="1" applyAlignment="1">
      <alignment horizontal="right" vertical="center"/>
    </xf>
    <xf numFmtId="164" fontId="10" fillId="8" borderId="25" xfId="6" applyNumberFormat="1" applyFont="1" applyFill="1" applyBorder="1" applyAlignment="1">
      <alignment vertical="center"/>
    </xf>
    <xf numFmtId="4" fontId="11" fillId="8" borderId="23" xfId="6" applyNumberFormat="1" applyFont="1" applyFill="1" applyBorder="1" applyAlignment="1">
      <alignment horizontal="right" vertical="center"/>
    </xf>
    <xf numFmtId="0" fontId="10" fillId="8" borderId="26" xfId="6" applyFont="1" applyFill="1" applyBorder="1" applyAlignment="1">
      <alignment vertical="center" wrapText="1"/>
    </xf>
    <xf numFmtId="4" fontId="11" fillId="8" borderId="27" xfId="6" applyNumberFormat="1" applyFont="1" applyFill="1" applyBorder="1" applyAlignment="1">
      <alignment horizontal="right" vertical="center"/>
    </xf>
    <xf numFmtId="164" fontId="10" fillId="8" borderId="29" xfId="6" applyNumberFormat="1" applyFont="1" applyFill="1" applyBorder="1" applyAlignment="1">
      <alignment vertical="center"/>
    </xf>
    <xf numFmtId="4" fontId="10" fillId="0" borderId="30" xfId="6" applyNumberFormat="1" applyFont="1" applyFill="1" applyBorder="1" applyAlignment="1">
      <alignment vertical="center"/>
    </xf>
    <xf numFmtId="0" fontId="10" fillId="0" borderId="22" xfId="6" applyFont="1" applyFill="1" applyBorder="1" applyAlignment="1">
      <alignment vertical="center"/>
    </xf>
    <xf numFmtId="4" fontId="11" fillId="0" borderId="30" xfId="6" applyNumberFormat="1" applyFont="1" applyFill="1" applyBorder="1" applyAlignment="1">
      <alignment horizontal="right" vertical="center"/>
    </xf>
    <xf numFmtId="0" fontId="10" fillId="0" borderId="26" xfId="6" applyFont="1" applyFill="1" applyBorder="1" applyAlignment="1">
      <alignment vertical="center"/>
    </xf>
    <xf numFmtId="4" fontId="10" fillId="0" borderId="31" xfId="6" applyNumberFormat="1" applyFont="1" applyFill="1" applyBorder="1" applyAlignment="1">
      <alignment vertical="center"/>
    </xf>
    <xf numFmtId="0" fontId="7" fillId="2" borderId="47" xfId="6" applyFont="1" applyFill="1" applyBorder="1" applyAlignment="1">
      <alignment horizontal="left" vertical="center"/>
    </xf>
    <xf numFmtId="164" fontId="15" fillId="0" borderId="48" xfId="6" applyNumberFormat="1" applyFont="1" applyFill="1" applyBorder="1" applyAlignment="1">
      <alignment vertical="center"/>
    </xf>
    <xf numFmtId="0" fontId="16" fillId="0" borderId="12" xfId="6" applyFont="1" applyFill="1" applyBorder="1" applyAlignment="1">
      <alignment horizontal="left" vertical="center"/>
    </xf>
    <xf numFmtId="164" fontId="10" fillId="0" borderId="49" xfId="6" applyNumberFormat="1" applyFont="1" applyFill="1" applyBorder="1" applyAlignment="1">
      <alignment vertical="center"/>
    </xf>
    <xf numFmtId="0" fontId="16" fillId="0" borderId="26" xfId="6" applyFont="1" applyFill="1" applyBorder="1" applyAlignment="1">
      <alignment horizontal="left"/>
    </xf>
    <xf numFmtId="4" fontId="10" fillId="0" borderId="27" xfId="6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wrapText="1"/>
    </xf>
    <xf numFmtId="0" fontId="22" fillId="0" borderId="0" xfId="1" applyFont="1" applyAlignment="1">
      <alignment horizontal="right"/>
    </xf>
    <xf numFmtId="0" fontId="36" fillId="0" borderId="0" xfId="1" applyFont="1" applyAlignment="1">
      <alignment horizontal="right"/>
    </xf>
    <xf numFmtId="0" fontId="35" fillId="9" borderId="0" xfId="0" applyFont="1" applyFill="1" applyAlignment="1">
      <alignment horizontal="right"/>
    </xf>
    <xf numFmtId="0" fontId="34" fillId="0" borderId="0" xfId="0" applyFont="1" applyFill="1" applyAlignment="1">
      <alignment horizontal="right"/>
    </xf>
    <xf numFmtId="0" fontId="40" fillId="0" borderId="0" xfId="0" applyFont="1" applyFill="1" applyAlignment="1">
      <alignment horizontal="right"/>
    </xf>
    <xf numFmtId="0" fontId="45" fillId="0" borderId="0" xfId="1" applyFont="1" applyAlignment="1">
      <alignment horizontal="right"/>
    </xf>
    <xf numFmtId="0" fontId="26" fillId="0" borderId="0" xfId="0" applyFont="1" applyFill="1" applyAlignment="1">
      <alignment horizontal="right" vertical="center"/>
    </xf>
    <xf numFmtId="0" fontId="31" fillId="0" borderId="50" xfId="1" applyFont="1" applyFill="1" applyBorder="1"/>
    <xf numFmtId="0" fontId="30" fillId="0" borderId="51" xfId="1" applyFont="1" applyFill="1" applyBorder="1"/>
    <xf numFmtId="0" fontId="31" fillId="0" borderId="54" xfId="1" applyFont="1" applyFill="1" applyBorder="1"/>
    <xf numFmtId="4" fontId="31" fillId="0" borderId="55" xfId="1" applyNumberFormat="1" applyFont="1" applyFill="1" applyBorder="1" applyAlignment="1">
      <alignment horizontal="right"/>
    </xf>
    <xf numFmtId="4" fontId="30" fillId="0" borderId="56" xfId="1" applyNumberFormat="1" applyFont="1" applyFill="1" applyBorder="1" applyAlignment="1">
      <alignment horizontal="right"/>
    </xf>
    <xf numFmtId="4" fontId="31" fillId="0" borderId="57" xfId="1" applyNumberFormat="1" applyFont="1" applyFill="1" applyBorder="1" applyAlignment="1">
      <alignment horizontal="right"/>
    </xf>
    <xf numFmtId="4" fontId="31" fillId="0" borderId="58" xfId="1" applyNumberFormat="1" applyFont="1" applyFill="1" applyBorder="1" applyAlignment="1">
      <alignment horizontal="right"/>
    </xf>
    <xf numFmtId="0" fontId="50" fillId="0" borderId="0" xfId="1" applyFont="1" applyAlignment="1">
      <alignment horizontal="right"/>
    </xf>
    <xf numFmtId="4" fontId="55" fillId="0" borderId="0" xfId="1" applyNumberFormat="1" applyFont="1"/>
    <xf numFmtId="4" fontId="17" fillId="0" borderId="5" xfId="1" applyNumberFormat="1" applyFont="1" applyBorder="1"/>
    <xf numFmtId="4" fontId="17" fillId="0" borderId="5" xfId="1" applyNumberFormat="1" applyFont="1" applyFill="1" applyBorder="1"/>
    <xf numFmtId="4" fontId="3" fillId="0" borderId="16" xfId="1" applyNumberFormat="1" applyFont="1" applyBorder="1"/>
    <xf numFmtId="0" fontId="4" fillId="0" borderId="63" xfId="1" applyFont="1" applyBorder="1"/>
    <xf numFmtId="4" fontId="57" fillId="0" borderId="64" xfId="1" applyNumberFormat="1" applyFont="1" applyBorder="1"/>
    <xf numFmtId="0" fontId="4" fillId="0" borderId="64" xfId="1" applyFont="1" applyBorder="1"/>
    <xf numFmtId="0" fontId="4" fillId="0" borderId="42" xfId="1" applyFont="1" applyBorder="1"/>
    <xf numFmtId="0" fontId="4" fillId="0" borderId="14" xfId="1" applyFill="1" applyBorder="1"/>
    <xf numFmtId="4" fontId="3" fillId="0" borderId="8" xfId="1" applyNumberFormat="1" applyFont="1" applyFill="1" applyBorder="1" applyAlignment="1">
      <alignment vertical="center"/>
    </xf>
    <xf numFmtId="4" fontId="10" fillId="0" borderId="27" xfId="1" applyNumberFormat="1" applyFont="1" applyFill="1" applyBorder="1" applyAlignment="1">
      <alignment horizontal="right" vertical="center"/>
    </xf>
    <xf numFmtId="4" fontId="10" fillId="0" borderId="44" xfId="1" applyNumberFormat="1" applyFont="1" applyFill="1" applyBorder="1" applyAlignment="1">
      <alignment horizontal="right" vertical="center"/>
    </xf>
    <xf numFmtId="0" fontId="4" fillId="0" borderId="0" xfId="1" applyFill="1" applyBorder="1"/>
    <xf numFmtId="4" fontId="25" fillId="0" borderId="0" xfId="1" applyNumberFormat="1" applyFont="1" applyFill="1" applyBorder="1"/>
    <xf numFmtId="4" fontId="3" fillId="0" borderId="0" xfId="1" applyNumberFormat="1" applyFont="1" applyFill="1" applyBorder="1" applyAlignment="1">
      <alignment vertical="center"/>
    </xf>
    <xf numFmtId="4" fontId="10" fillId="0" borderId="30" xfId="1" applyNumberFormat="1" applyFont="1" applyFill="1" applyBorder="1" applyAlignment="1">
      <alignment horizontal="right"/>
    </xf>
    <xf numFmtId="4" fontId="10" fillId="0" borderId="31" xfId="1" applyNumberFormat="1" applyFont="1" applyFill="1" applyBorder="1" applyAlignment="1">
      <alignment horizontal="right"/>
    </xf>
    <xf numFmtId="4" fontId="9" fillId="0" borderId="20" xfId="1" applyNumberFormat="1" applyFont="1" applyFill="1" applyBorder="1" applyAlignment="1">
      <alignment horizontal="right" vertical="center"/>
    </xf>
    <xf numFmtId="4" fontId="10" fillId="0" borderId="23" xfId="6" applyNumberFormat="1" applyFont="1" applyFill="1" applyBorder="1" applyAlignment="1">
      <alignment vertical="center"/>
    </xf>
    <xf numFmtId="4" fontId="10" fillId="0" borderId="33" xfId="6" applyNumberFormat="1" applyFont="1" applyFill="1" applyBorder="1" applyAlignment="1">
      <alignment vertical="center"/>
    </xf>
    <xf numFmtId="4" fontId="10" fillId="0" borderId="36" xfId="6" applyNumberFormat="1" applyFont="1" applyFill="1" applyBorder="1" applyAlignment="1">
      <alignment vertical="center"/>
    </xf>
    <xf numFmtId="4" fontId="10" fillId="0" borderId="27" xfId="6" applyNumberFormat="1" applyFont="1" applyFill="1" applyBorder="1" applyAlignment="1">
      <alignment vertical="center"/>
    </xf>
    <xf numFmtId="0" fontId="2" fillId="0" borderId="14" xfId="6" applyFill="1" applyBorder="1"/>
    <xf numFmtId="4" fontId="3" fillId="0" borderId="8" xfId="6" applyNumberFormat="1" applyFont="1" applyFill="1" applyBorder="1" applyAlignment="1">
      <alignment vertical="center"/>
    </xf>
    <xf numFmtId="4" fontId="10" fillId="0" borderId="4" xfId="6" applyNumberFormat="1" applyFont="1" applyFill="1" applyBorder="1" applyAlignment="1">
      <alignment vertical="center"/>
    </xf>
    <xf numFmtId="4" fontId="10" fillId="0" borderId="9" xfId="6" applyNumberFormat="1" applyFont="1" applyFill="1" applyBorder="1" applyAlignment="1">
      <alignment vertical="center"/>
    </xf>
    <xf numFmtId="0" fontId="2" fillId="0" borderId="0" xfId="6" applyFill="1" applyBorder="1"/>
    <xf numFmtId="4" fontId="25" fillId="0" borderId="0" xfId="6" applyNumberFormat="1" applyFont="1" applyFill="1" applyBorder="1"/>
    <xf numFmtId="4" fontId="3" fillId="0" borderId="0" xfId="6" applyNumberFormat="1" applyFont="1" applyFill="1" applyBorder="1" applyAlignment="1">
      <alignment vertical="center"/>
    </xf>
    <xf numFmtId="4" fontId="10" fillId="0" borderId="13" xfId="6" applyNumberFormat="1" applyFont="1" applyFill="1" applyBorder="1" applyAlignment="1">
      <alignment horizontal="right"/>
    </xf>
    <xf numFmtId="4" fontId="10" fillId="0" borderId="30" xfId="6" applyNumberFormat="1" applyFont="1" applyFill="1" applyBorder="1" applyAlignment="1">
      <alignment horizontal="right"/>
    </xf>
    <xf numFmtId="4" fontId="10" fillId="0" borderId="38" xfId="6" applyNumberFormat="1" applyFont="1" applyFill="1" applyBorder="1" applyAlignment="1">
      <alignment horizontal="right"/>
    </xf>
    <xf numFmtId="4" fontId="10" fillId="0" borderId="39" xfId="6" applyNumberFormat="1" applyFont="1" applyFill="1" applyBorder="1" applyAlignment="1">
      <alignment horizontal="right"/>
    </xf>
    <xf numFmtId="4" fontId="9" fillId="0" borderId="20" xfId="6" applyNumberFormat="1" applyFont="1" applyFill="1" applyBorder="1" applyAlignment="1">
      <alignment horizontal="right" vertical="center"/>
    </xf>
    <xf numFmtId="3" fontId="2" fillId="0" borderId="0" xfId="6" applyNumberFormat="1" applyFill="1" applyAlignment="1">
      <alignment horizontal="right"/>
    </xf>
    <xf numFmtId="4" fontId="3" fillId="0" borderId="8" xfId="6" applyNumberFormat="1" applyFont="1" applyFill="1" applyBorder="1" applyAlignment="1">
      <alignment horizontal="right" vertical="center"/>
    </xf>
    <xf numFmtId="4" fontId="3" fillId="0" borderId="0" xfId="6" applyNumberFormat="1" applyFont="1" applyFill="1" applyBorder="1" applyAlignment="1">
      <alignment horizontal="right" vertical="center"/>
    </xf>
    <xf numFmtId="0" fontId="10" fillId="8" borderId="0" xfId="1" applyFont="1" applyFill="1" applyBorder="1" applyAlignment="1">
      <alignment horizontal="left" vertical="center"/>
    </xf>
    <xf numFmtId="0" fontId="10" fillId="8" borderId="18" xfId="1" applyFont="1" applyFill="1" applyBorder="1" applyAlignment="1">
      <alignment horizontal="left" vertical="center" wrapText="1"/>
    </xf>
    <xf numFmtId="0" fontId="10" fillId="0" borderId="35" xfId="1" applyFont="1" applyFill="1" applyBorder="1" applyAlignment="1">
      <alignment horizontal="left" vertical="center" wrapText="1"/>
    </xf>
    <xf numFmtId="4" fontId="10" fillId="0" borderId="36" xfId="1" applyNumberFormat="1" applyFont="1" applyFill="1" applyBorder="1" applyAlignment="1">
      <alignment vertical="center"/>
    </xf>
    <xf numFmtId="4" fontId="11" fillId="0" borderId="65" xfId="1" applyNumberFormat="1" applyFont="1" applyFill="1" applyBorder="1" applyAlignment="1">
      <alignment horizontal="right" vertical="center"/>
    </xf>
    <xf numFmtId="164" fontId="10" fillId="0" borderId="37" xfId="1" applyNumberFormat="1" applyFont="1" applyFill="1" applyBorder="1" applyAlignment="1">
      <alignment vertical="center"/>
    </xf>
    <xf numFmtId="0" fontId="10" fillId="0" borderId="35" xfId="1" applyFont="1" applyFill="1" applyBorder="1" applyAlignment="1">
      <alignment vertical="center" wrapText="1"/>
    </xf>
    <xf numFmtId="4" fontId="11" fillId="0" borderId="36" xfId="1" applyNumberFormat="1" applyFont="1" applyFill="1" applyBorder="1" applyAlignment="1">
      <alignment horizontal="right" vertical="center"/>
    </xf>
    <xf numFmtId="0" fontId="10" fillId="0" borderId="35" xfId="3" applyFont="1" applyFill="1" applyBorder="1" applyAlignment="1">
      <alignment horizontal="left" vertical="center" wrapText="1"/>
    </xf>
    <xf numFmtId="4" fontId="10" fillId="0" borderId="39" xfId="1" applyNumberFormat="1" applyFont="1" applyFill="1" applyBorder="1" applyAlignment="1">
      <alignment vertical="center"/>
    </xf>
    <xf numFmtId="0" fontId="10" fillId="0" borderId="35" xfId="1" applyFont="1" applyFill="1" applyBorder="1" applyAlignment="1">
      <alignment wrapText="1"/>
    </xf>
    <xf numFmtId="4" fontId="10" fillId="0" borderId="36" xfId="1" applyNumberFormat="1" applyFont="1" applyFill="1" applyBorder="1" applyAlignment="1">
      <alignment horizontal="right" vertical="center"/>
    </xf>
    <xf numFmtId="4" fontId="10" fillId="0" borderId="39" xfId="1" applyNumberFormat="1" applyFont="1" applyFill="1" applyBorder="1" applyAlignment="1">
      <alignment horizontal="right" vertical="center"/>
    </xf>
    <xf numFmtId="0" fontId="10" fillId="0" borderId="35" xfId="1" applyFont="1" applyFill="1" applyBorder="1"/>
    <xf numFmtId="4" fontId="10" fillId="0" borderId="36" xfId="1" applyNumberFormat="1" applyFont="1" applyFill="1" applyBorder="1" applyAlignment="1">
      <alignment horizontal="right"/>
    </xf>
    <xf numFmtId="0" fontId="10" fillId="8" borderId="35" xfId="1" applyFont="1" applyFill="1" applyBorder="1"/>
    <xf numFmtId="4" fontId="10" fillId="0" borderId="39" xfId="1" applyNumberFormat="1" applyFont="1" applyFill="1" applyBorder="1" applyAlignment="1">
      <alignment horizontal="right"/>
    </xf>
    <xf numFmtId="4" fontId="10" fillId="8" borderId="36" xfId="1" applyNumberFormat="1" applyFont="1" applyFill="1" applyBorder="1" applyAlignment="1">
      <alignment horizontal="right"/>
    </xf>
    <xf numFmtId="4" fontId="10" fillId="8" borderId="39" xfId="1" applyNumberFormat="1" applyFont="1" applyFill="1" applyBorder="1" applyAlignment="1">
      <alignment horizontal="right"/>
    </xf>
    <xf numFmtId="164" fontId="10" fillId="8" borderId="37" xfId="1" applyNumberFormat="1" applyFont="1" applyFill="1" applyBorder="1" applyAlignment="1">
      <alignment vertical="center"/>
    </xf>
    <xf numFmtId="0" fontId="10" fillId="8" borderId="35" xfId="1" applyFont="1" applyFill="1" applyBorder="1" applyAlignment="1">
      <alignment horizontal="left" vertical="center"/>
    </xf>
    <xf numFmtId="4" fontId="10" fillId="8" borderId="36" xfId="1" applyNumberFormat="1" applyFont="1" applyFill="1" applyBorder="1"/>
    <xf numFmtId="4" fontId="10" fillId="0" borderId="39" xfId="1" applyNumberFormat="1" applyFont="1" applyFill="1" applyBorder="1"/>
    <xf numFmtId="0" fontId="9" fillId="0" borderId="32" xfId="1" applyFont="1" applyFill="1" applyBorder="1" applyAlignment="1">
      <alignment horizontal="left" vertical="center"/>
    </xf>
    <xf numFmtId="4" fontId="9" fillId="0" borderId="38" xfId="1" applyNumberFormat="1" applyFont="1" applyFill="1" applyBorder="1" applyAlignment="1">
      <alignment horizontal="right" vertical="center"/>
    </xf>
    <xf numFmtId="164" fontId="12" fillId="0" borderId="34" xfId="1" applyNumberFormat="1" applyFont="1" applyFill="1" applyBorder="1" applyAlignment="1">
      <alignment vertical="center"/>
    </xf>
    <xf numFmtId="4" fontId="10" fillId="0" borderId="36" xfId="1" applyNumberFormat="1" applyFont="1" applyFill="1" applyBorder="1"/>
    <xf numFmtId="0" fontId="10" fillId="0" borderId="35" xfId="6" applyFont="1" applyFill="1" applyBorder="1" applyAlignment="1">
      <alignment wrapText="1"/>
    </xf>
    <xf numFmtId="4" fontId="10" fillId="0" borderId="4" xfId="6" applyNumberFormat="1" applyFont="1" applyFill="1" applyBorder="1" applyAlignment="1">
      <alignment horizontal="right" vertical="center"/>
    </xf>
    <xf numFmtId="0" fontId="10" fillId="8" borderId="35" xfId="6" applyFont="1" applyFill="1" applyBorder="1" applyAlignment="1">
      <alignment vertical="center" wrapText="1"/>
    </xf>
    <xf numFmtId="0" fontId="16" fillId="0" borderId="35" xfId="6" applyFont="1" applyFill="1" applyBorder="1" applyAlignment="1">
      <alignment horizontal="left"/>
    </xf>
    <xf numFmtId="4" fontId="20" fillId="0" borderId="0" xfId="1" applyNumberFormat="1" applyFont="1"/>
    <xf numFmtId="0" fontId="2" fillId="0" borderId="0" xfId="6" applyNumberFormat="1" applyFont="1" applyFill="1" applyBorder="1" applyAlignment="1">
      <alignment horizontal="left" vertical="center"/>
    </xf>
    <xf numFmtId="4" fontId="4" fillId="0" borderId="0" xfId="1" applyNumberFormat="1" applyFont="1"/>
    <xf numFmtId="0" fontId="10" fillId="8" borderId="32" xfId="1" applyFont="1" applyFill="1" applyBorder="1" applyAlignment="1">
      <alignment horizontal="left" vertical="center"/>
    </xf>
    <xf numFmtId="4" fontId="10" fillId="8" borderId="33" xfId="1" applyNumberFormat="1" applyFont="1" applyFill="1" applyBorder="1" applyAlignment="1">
      <alignment vertical="center"/>
    </xf>
    <xf numFmtId="164" fontId="10" fillId="8" borderId="34" xfId="1" applyNumberFormat="1" applyFont="1" applyFill="1" applyBorder="1" applyAlignment="1">
      <alignment vertical="center"/>
    </xf>
    <xf numFmtId="0" fontId="10" fillId="8" borderId="21" xfId="1" applyFont="1" applyFill="1" applyBorder="1" applyAlignment="1">
      <alignment horizontal="left" vertical="center"/>
    </xf>
    <xf numFmtId="4" fontId="10" fillId="8" borderId="21" xfId="1" applyNumberFormat="1" applyFont="1" applyFill="1" applyBorder="1" applyAlignment="1">
      <alignment vertical="center"/>
    </xf>
    <xf numFmtId="164" fontId="10" fillId="8" borderId="21" xfId="1" applyNumberFormat="1" applyFont="1" applyFill="1" applyBorder="1" applyAlignment="1">
      <alignment vertical="center"/>
    </xf>
    <xf numFmtId="0" fontId="9" fillId="8" borderId="14" xfId="1" applyFont="1" applyFill="1" applyBorder="1" applyAlignment="1">
      <alignment horizontal="left" vertical="center"/>
    </xf>
    <xf numFmtId="0" fontId="4" fillId="8" borderId="14" xfId="1" applyFill="1" applyBorder="1"/>
    <xf numFmtId="0" fontId="2" fillId="8" borderId="14" xfId="1" applyFont="1" applyFill="1" applyBorder="1" applyAlignment="1">
      <alignment horizontal="right"/>
    </xf>
    <xf numFmtId="4" fontId="6" fillId="8" borderId="5" xfId="1" applyNumberFormat="1" applyFont="1" applyFill="1" applyBorder="1"/>
    <xf numFmtId="0" fontId="3" fillId="0" borderId="0" xfId="1" applyFont="1" applyBorder="1" applyAlignment="1">
      <alignment horizontal="left"/>
    </xf>
    <xf numFmtId="4" fontId="23" fillId="0" borderId="0" xfId="1" applyNumberFormat="1" applyFont="1"/>
    <xf numFmtId="4" fontId="22" fillId="0" borderId="0" xfId="1" applyNumberFormat="1" applyFont="1" applyBorder="1"/>
    <xf numFmtId="4" fontId="31" fillId="0" borderId="0" xfId="1" applyNumberFormat="1" applyFont="1" applyFill="1"/>
    <xf numFmtId="4" fontId="17" fillId="0" borderId="0" xfId="1" applyNumberFormat="1" applyFont="1"/>
    <xf numFmtId="0" fontId="17" fillId="0" borderId="52" xfId="1" applyFont="1" applyBorder="1" applyAlignment="1">
      <alignment horizontal="center"/>
    </xf>
    <xf numFmtId="0" fontId="17" fillId="0" borderId="53" xfId="1" applyFont="1" applyBorder="1" applyAlignment="1">
      <alignment horizontal="center"/>
    </xf>
    <xf numFmtId="0" fontId="56" fillId="0" borderId="59" xfId="1" applyFont="1" applyBorder="1" applyAlignment="1">
      <alignment horizontal="left" wrapText="1"/>
    </xf>
    <xf numFmtId="0" fontId="56" fillId="0" borderId="60" xfId="1" applyFont="1" applyBorder="1" applyAlignment="1">
      <alignment horizontal="left" wrapText="1"/>
    </xf>
    <xf numFmtId="0" fontId="56" fillId="0" borderId="61" xfId="1" applyFont="1" applyBorder="1" applyAlignment="1">
      <alignment horizontal="left" wrapText="1"/>
    </xf>
    <xf numFmtId="0" fontId="56" fillId="0" borderId="62" xfId="1" applyFont="1" applyBorder="1" applyAlignment="1">
      <alignment horizontal="left" wrapText="1"/>
    </xf>
    <xf numFmtId="0" fontId="56" fillId="0" borderId="0" xfId="1" applyFont="1" applyBorder="1" applyAlignment="1">
      <alignment horizontal="left" wrapText="1"/>
    </xf>
    <xf numFmtId="0" fontId="56" fillId="0" borderId="13" xfId="1" applyFont="1" applyBorder="1" applyAlignment="1">
      <alignment horizontal="left" wrapText="1"/>
    </xf>
    <xf numFmtId="0" fontId="16" fillId="0" borderId="15" xfId="6" applyFont="1" applyFill="1" applyBorder="1" applyAlignment="1">
      <alignment horizontal="left" vertical="center"/>
    </xf>
    <xf numFmtId="0" fontId="16" fillId="0" borderId="35" xfId="6" applyFont="1" applyFill="1" applyBorder="1" applyAlignment="1">
      <alignment horizontal="left" vertical="center"/>
    </xf>
    <xf numFmtId="0" fontId="16" fillId="0" borderId="32" xfId="6" applyFont="1" applyFill="1" applyBorder="1" applyAlignment="1">
      <alignment horizontal="left" vertical="center"/>
    </xf>
    <xf numFmtId="0" fontId="16" fillId="0" borderId="18" xfId="6" applyFont="1" applyFill="1" applyBorder="1" applyAlignment="1">
      <alignment horizontal="left" vertical="center"/>
    </xf>
    <xf numFmtId="0" fontId="10" fillId="8" borderId="32" xfId="6" applyFont="1" applyFill="1" applyBorder="1" applyAlignment="1">
      <alignment horizontal="left" vertical="center"/>
    </xf>
    <xf numFmtId="0" fontId="10" fillId="8" borderId="35" xfId="6" applyFont="1" applyFill="1" applyBorder="1" applyAlignment="1">
      <alignment horizontal="left" vertical="center"/>
    </xf>
    <xf numFmtId="0" fontId="10" fillId="8" borderId="18" xfId="6" applyFont="1" applyFill="1" applyBorder="1" applyAlignment="1">
      <alignment horizontal="left" vertical="center"/>
    </xf>
    <xf numFmtId="0" fontId="10" fillId="0" borderId="15" xfId="6" applyFont="1" applyFill="1" applyBorder="1" applyAlignment="1">
      <alignment horizontal="left" vertical="center" wrapText="1"/>
    </xf>
    <xf numFmtId="0" fontId="10" fillId="0" borderId="35" xfId="6" applyFont="1" applyFill="1" applyBorder="1" applyAlignment="1">
      <alignment horizontal="left" vertical="center" wrapText="1"/>
    </xf>
    <xf numFmtId="0" fontId="10" fillId="0" borderId="32" xfId="6" applyFont="1" applyFill="1" applyBorder="1" applyAlignment="1">
      <alignment horizontal="left" vertical="center" wrapText="1"/>
    </xf>
    <xf numFmtId="0" fontId="2" fillId="0" borderId="32" xfId="6" applyFont="1" applyBorder="1" applyAlignment="1">
      <alignment vertical="center" wrapText="1"/>
    </xf>
    <xf numFmtId="0" fontId="2" fillId="0" borderId="18" xfId="6" applyBorder="1" applyAlignment="1">
      <alignment vertical="center" wrapText="1"/>
    </xf>
    <xf numFmtId="0" fontId="10" fillId="8" borderId="32" xfId="6" applyFont="1" applyFill="1" applyBorder="1" applyAlignment="1">
      <alignment vertical="center" wrapText="1"/>
    </xf>
    <xf numFmtId="0" fontId="2" fillId="0" borderId="35" xfId="6" applyBorder="1" applyAlignment="1">
      <alignment vertical="center" wrapText="1"/>
    </xf>
    <xf numFmtId="0" fontId="2" fillId="0" borderId="15" xfId="6" applyBorder="1" applyAlignment="1">
      <alignment vertical="center" wrapText="1"/>
    </xf>
    <xf numFmtId="0" fontId="10" fillId="0" borderId="32" xfId="6" applyFont="1" applyFill="1" applyBorder="1" applyAlignment="1">
      <alignment vertical="center" wrapText="1"/>
    </xf>
    <xf numFmtId="0" fontId="10" fillId="0" borderId="15" xfId="6" applyFont="1" applyFill="1" applyBorder="1" applyAlignment="1">
      <alignment horizontal="left" vertical="center"/>
    </xf>
    <xf numFmtId="0" fontId="10" fillId="0" borderId="35" xfId="6" applyFont="1" applyFill="1" applyBorder="1" applyAlignment="1">
      <alignment horizontal="left" vertical="center"/>
    </xf>
    <xf numFmtId="0" fontId="10" fillId="0" borderId="32" xfId="6" applyFont="1" applyFill="1" applyBorder="1" applyAlignment="1">
      <alignment horizontal="left" vertical="center"/>
    </xf>
  </cellXfs>
  <cellStyles count="9">
    <cellStyle name="Normální" xfId="0" builtinId="0"/>
    <cellStyle name="Normální 2" xfId="1"/>
    <cellStyle name="normální 2 2" xfId="4"/>
    <cellStyle name="Normální 2 3" xfId="6"/>
    <cellStyle name="Normální 6" xfId="5"/>
    <cellStyle name="normální_Investice 2005-sociální, zdravotní, kutura 2" xfId="2"/>
    <cellStyle name="normální_Investice 2005-sociální, zdravotní, kutura 2 2" xfId="8"/>
    <cellStyle name="normální_Sociální - investice a opravy 2009 - sumarizace vč. prior - 10-12-2008" xfId="3"/>
    <cellStyle name="normální_Sociální - investice a opravy 2009 - sumarizace vč. prior - 10-12-2008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70"/>
  <sheetViews>
    <sheetView showGridLines="0" view="pageBreakPreview" zoomScaleNormal="100" zoomScaleSheetLayoutView="100" workbookViewId="0"/>
  </sheetViews>
  <sheetFormatPr defaultRowHeight="12.75" x14ac:dyDescent="0.2"/>
  <cols>
    <col min="1" max="1" width="35.28515625" style="5" customWidth="1"/>
    <col min="2" max="2" width="19" style="5" customWidth="1"/>
    <col min="3" max="3" width="20.140625" style="5" customWidth="1"/>
    <col min="4" max="4" width="19.42578125" style="5" customWidth="1"/>
    <col min="5" max="5" width="3.28515625" style="5" customWidth="1"/>
    <col min="6" max="6" width="22.5703125" style="5" customWidth="1"/>
    <col min="7" max="7" width="13.5703125" style="5" customWidth="1"/>
    <col min="8" max="8" width="16.28515625" style="5" bestFit="1" customWidth="1"/>
    <col min="9" max="9" width="18.85546875" style="5" customWidth="1"/>
    <col min="10" max="10" width="17.85546875" style="5" customWidth="1"/>
    <col min="11" max="11" width="19.42578125" style="5" customWidth="1"/>
    <col min="12" max="12" width="5" style="5" customWidth="1"/>
    <col min="13" max="13" width="3.85546875" style="5" customWidth="1"/>
    <col min="14" max="14" width="17.28515625" style="5" bestFit="1" customWidth="1"/>
    <col min="15" max="15" width="17.42578125" style="5" customWidth="1"/>
    <col min="16" max="16" width="18.140625" style="5" customWidth="1"/>
    <col min="17" max="16384" width="9.140625" style="5"/>
  </cols>
  <sheetData>
    <row r="1" spans="1:9" ht="18" x14ac:dyDescent="0.25">
      <c r="A1" s="6" t="s">
        <v>209</v>
      </c>
      <c r="B1" s="7"/>
      <c r="C1" s="7"/>
      <c r="D1" s="7"/>
    </row>
    <row r="2" spans="1:9" ht="18.75" thickBot="1" x14ac:dyDescent="0.3">
      <c r="A2" s="8"/>
      <c r="B2" s="9"/>
      <c r="C2" s="9"/>
      <c r="D2" s="10" t="s">
        <v>18</v>
      </c>
    </row>
    <row r="3" spans="1:9" ht="14.25" thickTop="1" thickBot="1" x14ac:dyDescent="0.25">
      <c r="A3" s="11"/>
      <c r="B3" s="12" t="s">
        <v>0</v>
      </c>
      <c r="C3" s="13" t="s">
        <v>1</v>
      </c>
      <c r="D3" s="14" t="s">
        <v>4</v>
      </c>
    </row>
    <row r="4" spans="1:9" ht="16.5" thickTop="1" x14ac:dyDescent="0.25">
      <c r="A4" s="15" t="s">
        <v>7</v>
      </c>
      <c r="B4" s="110">
        <f>SUM(B5:B6)</f>
        <v>316398000</v>
      </c>
      <c r="C4" s="110">
        <f t="shared" ref="C4:D4" si="0">SUM(C5:C6)</f>
        <v>358013344.17000002</v>
      </c>
      <c r="D4" s="653">
        <f t="shared" si="0"/>
        <v>318489773.32999992</v>
      </c>
    </row>
    <row r="5" spans="1:9" x14ac:dyDescent="0.2">
      <c r="A5" s="162" t="s">
        <v>25</v>
      </c>
      <c r="B5" s="142">
        <f>'8a) OK 2017'!B565</f>
        <v>235852000</v>
      </c>
      <c r="C5" s="142">
        <f>'8a) OK 2017'!C565</f>
        <v>300357844.17000002</v>
      </c>
      <c r="D5" s="163">
        <f>'8a) OK 2017'!D565</f>
        <v>268295797.80999994</v>
      </c>
    </row>
    <row r="6" spans="1:9" x14ac:dyDescent="0.2">
      <c r="A6" s="162" t="s">
        <v>731</v>
      </c>
      <c r="B6" s="142">
        <f>'8b) Projekty spolufinancované'!B207</f>
        <v>80546000</v>
      </c>
      <c r="C6" s="142">
        <f>'8b) Projekty spolufinancované'!C207</f>
        <v>57655500</v>
      </c>
      <c r="D6" s="163">
        <f>'8b) Projekty spolufinancované'!D207</f>
        <v>50193975.519999996</v>
      </c>
    </row>
    <row r="7" spans="1:9" ht="15.75" x14ac:dyDescent="0.25">
      <c r="A7" s="164" t="s">
        <v>9</v>
      </c>
      <c r="B7" s="165">
        <f>SUM(B8:B9)</f>
        <v>112178000</v>
      </c>
      <c r="C7" s="165">
        <f t="shared" ref="C7:D7" si="1">SUM(C8:C9)</f>
        <v>140117341.33999997</v>
      </c>
      <c r="D7" s="166">
        <f t="shared" si="1"/>
        <v>117510030.08</v>
      </c>
    </row>
    <row r="8" spans="1:9" x14ac:dyDescent="0.2">
      <c r="A8" s="162" t="s">
        <v>25</v>
      </c>
      <c r="B8" s="142">
        <f>'8a) OK 2017'!B566</f>
        <v>81439000</v>
      </c>
      <c r="C8" s="142">
        <f>'8a) OK 2017'!C566</f>
        <v>110724081.33999999</v>
      </c>
      <c r="D8" s="163">
        <f>'8a) OK 2017'!D566</f>
        <v>90602218.310000002</v>
      </c>
      <c r="G8" s="16"/>
      <c r="H8" s="17"/>
      <c r="I8" s="18"/>
    </row>
    <row r="9" spans="1:9" x14ac:dyDescent="0.2">
      <c r="A9" s="162" t="s">
        <v>731</v>
      </c>
      <c r="B9" s="142">
        <f>'8b) Projekty spolufinancované'!B208</f>
        <v>30739000</v>
      </c>
      <c r="C9" s="142">
        <f>'8b) Projekty spolufinancované'!C208</f>
        <v>29393260</v>
      </c>
      <c r="D9" s="163">
        <f>'8b) Projekty spolufinancované'!D208</f>
        <v>26907811.77</v>
      </c>
      <c r="G9" s="16"/>
      <c r="H9" s="17"/>
      <c r="I9" s="18"/>
    </row>
    <row r="10" spans="1:9" ht="15.75" x14ac:dyDescent="0.25">
      <c r="A10" s="164" t="s">
        <v>8</v>
      </c>
      <c r="B10" s="165">
        <f>SUM(B11:B12)</f>
        <v>45274000</v>
      </c>
      <c r="C10" s="165">
        <f t="shared" ref="C10:D10" si="2">SUM(C11:C12)</f>
        <v>76789719.710000008</v>
      </c>
      <c r="D10" s="166">
        <f t="shared" si="2"/>
        <v>49690031.509999998</v>
      </c>
    </row>
    <row r="11" spans="1:9" x14ac:dyDescent="0.2">
      <c r="A11" s="162" t="s">
        <v>25</v>
      </c>
      <c r="B11" s="142">
        <f>'8a) OK 2017'!B567</f>
        <v>43813000</v>
      </c>
      <c r="C11" s="142">
        <f>'8a) OK 2017'!C567</f>
        <v>35053419.710000001</v>
      </c>
      <c r="D11" s="163">
        <f>'8a) OK 2017'!D567</f>
        <v>23432655.629999999</v>
      </c>
    </row>
    <row r="12" spans="1:9" x14ac:dyDescent="0.2">
      <c r="A12" s="162" t="s">
        <v>731</v>
      </c>
      <c r="B12" s="142">
        <f>'8b) Projekty spolufinancované'!B209</f>
        <v>1461000</v>
      </c>
      <c r="C12" s="142">
        <f>'8b) Projekty spolufinancované'!C209</f>
        <v>41736300</v>
      </c>
      <c r="D12" s="163">
        <f>'8b) Projekty spolufinancované'!D209</f>
        <v>26257375.879999999</v>
      </c>
    </row>
    <row r="13" spans="1:9" ht="15.75" x14ac:dyDescent="0.25">
      <c r="A13" s="164" t="s">
        <v>11</v>
      </c>
      <c r="B13" s="165">
        <f>SUM(B14:B15)</f>
        <v>148325000</v>
      </c>
      <c r="C13" s="165">
        <f t="shared" ref="C13:D13" si="3">SUM(C14:C15)</f>
        <v>556554805.87</v>
      </c>
      <c r="D13" s="166">
        <f t="shared" si="3"/>
        <v>508134257.01999998</v>
      </c>
    </row>
    <row r="14" spans="1:9" x14ac:dyDescent="0.2">
      <c r="A14" s="162" t="s">
        <v>25</v>
      </c>
      <c r="B14" s="142">
        <f>'8a) OK 2017'!B568</f>
        <v>89633000</v>
      </c>
      <c r="C14" s="142">
        <f>'8a) OK 2017'!C568</f>
        <v>326376641.66000003</v>
      </c>
      <c r="D14" s="163">
        <f>'8a) OK 2017'!D568</f>
        <v>307841849.11999995</v>
      </c>
    </row>
    <row r="15" spans="1:9" x14ac:dyDescent="0.2">
      <c r="A15" s="162" t="s">
        <v>731</v>
      </c>
      <c r="B15" s="142">
        <f>'8b) Projekty spolufinancované'!B210</f>
        <v>58692000</v>
      </c>
      <c r="C15" s="142">
        <f>'8b) Projekty spolufinancované'!C210</f>
        <v>230178164.20999998</v>
      </c>
      <c r="D15" s="163">
        <f>'8b) Projekty spolufinancované'!D210</f>
        <v>200292407.90000001</v>
      </c>
    </row>
    <row r="16" spans="1:9" ht="15.75" x14ac:dyDescent="0.25">
      <c r="A16" s="164" t="s">
        <v>10</v>
      </c>
      <c r="B16" s="165">
        <f>SUM(B17:B19)</f>
        <v>44776000</v>
      </c>
      <c r="C16" s="165">
        <f t="shared" ref="C16:D16" si="4">SUM(C17:C19)</f>
        <v>82207378.310000002</v>
      </c>
      <c r="D16" s="166">
        <f t="shared" si="4"/>
        <v>61547813.920000002</v>
      </c>
    </row>
    <row r="17" spans="1:4" x14ac:dyDescent="0.2">
      <c r="A17" s="162" t="s">
        <v>25</v>
      </c>
      <c r="B17" s="142">
        <f>'8a) OK 2017'!B569</f>
        <v>4912000</v>
      </c>
      <c r="C17" s="142">
        <f>'8a) OK 2017'!C569</f>
        <v>43734943.539999999</v>
      </c>
      <c r="D17" s="163">
        <f>'8a) OK 2017'!D569</f>
        <v>37692279.960000001</v>
      </c>
    </row>
    <row r="18" spans="1:4" x14ac:dyDescent="0.2">
      <c r="A18" s="162" t="s">
        <v>731</v>
      </c>
      <c r="B18" s="142">
        <f>'8b) Projekty spolufinancované'!B211</f>
        <v>15100000</v>
      </c>
      <c r="C18" s="142">
        <f>'8b) Projekty spolufinancované'!C211</f>
        <v>11209582.77</v>
      </c>
      <c r="D18" s="163">
        <f>'8b) Projekty spolufinancované'!D211</f>
        <v>8213516.5599999996</v>
      </c>
    </row>
    <row r="19" spans="1:4" x14ac:dyDescent="0.2">
      <c r="A19" s="162" t="s">
        <v>384</v>
      </c>
      <c r="B19" s="142">
        <f>'8c) SMN'!B22</f>
        <v>24764000</v>
      </c>
      <c r="C19" s="142">
        <f>'8c) SMN'!C22</f>
        <v>27262852</v>
      </c>
      <c r="D19" s="163">
        <f>'8c) SMN'!D22</f>
        <v>15642017.399999999</v>
      </c>
    </row>
    <row r="20" spans="1:4" ht="15.75" x14ac:dyDescent="0.25">
      <c r="A20" s="164" t="s">
        <v>88</v>
      </c>
      <c r="B20" s="165">
        <f>SUM(B21)</f>
        <v>5580000</v>
      </c>
      <c r="C20" s="165">
        <f t="shared" ref="C20:D20" si="5">SUM(C21)</f>
        <v>2870500</v>
      </c>
      <c r="D20" s="166">
        <f t="shared" si="5"/>
        <v>2173286.9</v>
      </c>
    </row>
    <row r="21" spans="1:4" x14ac:dyDescent="0.2">
      <c r="A21" s="162" t="s">
        <v>731</v>
      </c>
      <c r="B21" s="142">
        <f>'8b) Projekty spolufinancované'!B212</f>
        <v>5580000</v>
      </c>
      <c r="C21" s="142">
        <f>'8b) Projekty spolufinancované'!C212</f>
        <v>2870500</v>
      </c>
      <c r="D21" s="163">
        <f>'8b) Projekty spolufinancované'!D212</f>
        <v>2173286.9</v>
      </c>
    </row>
    <row r="22" spans="1:4" ht="15.75" x14ac:dyDescent="0.25">
      <c r="A22" s="164" t="s">
        <v>64</v>
      </c>
      <c r="B22" s="165">
        <f>SUM(B23:B23)</f>
        <v>77000</v>
      </c>
      <c r="C22" s="165">
        <f>SUM(C23:C23)</f>
        <v>147000</v>
      </c>
      <c r="D22" s="166">
        <f>SUM(D23:D23)</f>
        <v>60500</v>
      </c>
    </row>
    <row r="23" spans="1:4" x14ac:dyDescent="0.2">
      <c r="A23" s="162" t="s">
        <v>731</v>
      </c>
      <c r="B23" s="142">
        <f>'8b) Projekty spolufinancované'!B213</f>
        <v>77000</v>
      </c>
      <c r="C23" s="142">
        <f>'8b) Projekty spolufinancované'!C213</f>
        <v>147000</v>
      </c>
      <c r="D23" s="163">
        <f>'8b) Projekty spolufinancované'!D213</f>
        <v>60500</v>
      </c>
    </row>
    <row r="24" spans="1:4" ht="15.75" customHeight="1" x14ac:dyDescent="0.25">
      <c r="A24" s="167" t="s">
        <v>34</v>
      </c>
      <c r="B24" s="168">
        <f>SUM(B25:B25)</f>
        <v>11000000</v>
      </c>
      <c r="C24" s="168">
        <f>SUM(C25:C25)</f>
        <v>1280000</v>
      </c>
      <c r="D24" s="191">
        <f>SUM(D25:D25)</f>
        <v>394660</v>
      </c>
    </row>
    <row r="25" spans="1:4" x14ac:dyDescent="0.2">
      <c r="A25" s="162" t="s">
        <v>731</v>
      </c>
      <c r="B25" s="142">
        <f>'8b) Projekty spolufinancované'!B214</f>
        <v>11000000</v>
      </c>
      <c r="C25" s="142">
        <f>'8b) Projekty spolufinancované'!C214</f>
        <v>1280000</v>
      </c>
      <c r="D25" s="163">
        <f>'8b) Projekty spolufinancované'!D214</f>
        <v>394660</v>
      </c>
    </row>
    <row r="26" spans="1:4" ht="15.75" x14ac:dyDescent="0.25">
      <c r="A26" s="164" t="s">
        <v>26</v>
      </c>
      <c r="B26" s="165">
        <f>SUM(B27:B27)</f>
        <v>402104000</v>
      </c>
      <c r="C26" s="165">
        <f>SUM(C27:C27)</f>
        <v>29190814</v>
      </c>
      <c r="D26" s="166">
        <f>SUM(D27:D27)</f>
        <v>23831998.73</v>
      </c>
    </row>
    <row r="27" spans="1:4" ht="13.5" thickBot="1" x14ac:dyDescent="0.25">
      <c r="A27" s="162" t="s">
        <v>25</v>
      </c>
      <c r="B27" s="142">
        <f>'8a) OK 2017'!B570</f>
        <v>402104000</v>
      </c>
      <c r="C27" s="142">
        <f>'8a) OK 2017'!C570</f>
        <v>29190814</v>
      </c>
      <c r="D27" s="163">
        <f>'8a) OK 2017'!D570</f>
        <v>23831998.73</v>
      </c>
    </row>
    <row r="28" spans="1:4" ht="17.25" thickTop="1" thickBot="1" x14ac:dyDescent="0.3">
      <c r="A28" s="19" t="s">
        <v>27</v>
      </c>
      <c r="B28" s="20">
        <f>SUM(B4,B7,B13,B10,B16,B22,B24,B26,B20)</f>
        <v>1085712000</v>
      </c>
      <c r="C28" s="20">
        <f>SUM(C4,C7,C13,C10,C16,C22,C24,C26,C20)</f>
        <v>1247170903.3999999</v>
      </c>
      <c r="D28" s="576">
        <f>SUM(D4,D7,D13,D10,D16,D22,D24,D26,D20)</f>
        <v>1081832351.4899998</v>
      </c>
    </row>
    <row r="29" spans="1:4" ht="16.5" thickTop="1" x14ac:dyDescent="0.25">
      <c r="A29" s="654"/>
      <c r="B29" s="21"/>
      <c r="C29" s="21"/>
      <c r="D29" s="21"/>
    </row>
    <row r="30" spans="1:4" ht="15.75" x14ac:dyDescent="0.25">
      <c r="A30" s="654"/>
      <c r="B30" s="21"/>
      <c r="C30" s="21"/>
      <c r="D30" s="21"/>
    </row>
    <row r="31" spans="1:4" ht="15.75" x14ac:dyDescent="0.25">
      <c r="A31" s="23" t="s">
        <v>733</v>
      </c>
      <c r="B31" s="21"/>
      <c r="C31" s="21"/>
      <c r="D31" s="21"/>
    </row>
    <row r="32" spans="1:4" ht="16.5" thickBot="1" x14ac:dyDescent="0.3">
      <c r="A32" s="23"/>
      <c r="B32" s="21"/>
      <c r="C32" s="21"/>
      <c r="D32" s="10" t="s">
        <v>18</v>
      </c>
    </row>
    <row r="33" spans="1:16" ht="14.25" thickTop="1" thickBot="1" x14ac:dyDescent="0.25">
      <c r="A33" s="11"/>
      <c r="B33" s="12" t="s">
        <v>0</v>
      </c>
      <c r="C33" s="13" t="s">
        <v>1</v>
      </c>
      <c r="D33" s="14" t="s">
        <v>4</v>
      </c>
    </row>
    <row r="34" spans="1:16" ht="15" thickTop="1" x14ac:dyDescent="0.2">
      <c r="A34" s="24" t="s">
        <v>734</v>
      </c>
      <c r="B34" s="25">
        <f>B5+B8+B11+B14+B17+B27</f>
        <v>857753000</v>
      </c>
      <c r="C34" s="25">
        <f t="shared" ref="C34:D34" si="6">C5+C8+C11+C14+C17+C27</f>
        <v>845437744.41999996</v>
      </c>
      <c r="D34" s="25">
        <f t="shared" si="6"/>
        <v>751696799.55999994</v>
      </c>
    </row>
    <row r="35" spans="1:16" ht="14.25" x14ac:dyDescent="0.2">
      <c r="A35" s="169" t="s">
        <v>735</v>
      </c>
      <c r="B35" s="170">
        <f>B6+B9+B12+B15+B18+B21+B23+B25</f>
        <v>203195000</v>
      </c>
      <c r="C35" s="170">
        <f t="shared" ref="C35:D35" si="7">C6+C9+C12+C15+C18+C21+C23+C25</f>
        <v>374470306.97999996</v>
      </c>
      <c r="D35" s="170">
        <f t="shared" si="7"/>
        <v>314493534.52999997</v>
      </c>
    </row>
    <row r="36" spans="1:16" s="22" customFormat="1" ht="15" thickBot="1" x14ac:dyDescent="0.25">
      <c r="A36" s="169" t="s">
        <v>736</v>
      </c>
      <c r="B36" s="170">
        <f>B19</f>
        <v>24764000</v>
      </c>
      <c r="C36" s="170">
        <f t="shared" ref="C36:D36" si="8">C19</f>
        <v>27262852</v>
      </c>
      <c r="D36" s="170">
        <f t="shared" si="8"/>
        <v>15642017.399999999</v>
      </c>
    </row>
    <row r="37" spans="1:16" s="22" customFormat="1" ht="17.25" thickTop="1" thickBot="1" x14ac:dyDescent="0.3">
      <c r="A37" s="19" t="s">
        <v>27</v>
      </c>
      <c r="B37" s="20">
        <f>SUM(B34:B36)</f>
        <v>1085712000</v>
      </c>
      <c r="C37" s="20">
        <f t="shared" ref="C37:D37" si="9">SUM(C34:C36)</f>
        <v>1247170903.3999999</v>
      </c>
      <c r="D37" s="576">
        <f t="shared" si="9"/>
        <v>1081832351.49</v>
      </c>
    </row>
    <row r="38" spans="1:16" s="22" customFormat="1" ht="16.5" thickTop="1" x14ac:dyDescent="0.25">
      <c r="A38" s="654"/>
      <c r="B38" s="21"/>
      <c r="C38" s="21"/>
      <c r="D38" s="21"/>
    </row>
    <row r="39" spans="1:16" s="22" customFormat="1" ht="15.75" x14ac:dyDescent="0.25">
      <c r="A39" s="654"/>
      <c r="B39" s="21"/>
      <c r="C39" s="21"/>
      <c r="D39" s="21"/>
    </row>
    <row r="40" spans="1:16" s="22" customFormat="1" ht="15.75" x14ac:dyDescent="0.25">
      <c r="A40" s="23" t="s">
        <v>737</v>
      </c>
      <c r="B40" s="21"/>
      <c r="C40" s="21"/>
      <c r="D40" s="21"/>
    </row>
    <row r="41" spans="1:16" s="22" customFormat="1" ht="16.5" thickBot="1" x14ac:dyDescent="0.3">
      <c r="A41" s="23"/>
      <c r="B41" s="21"/>
      <c r="C41" s="21"/>
      <c r="D41" s="10" t="s">
        <v>18</v>
      </c>
    </row>
    <row r="42" spans="1:16" s="22" customFormat="1" ht="14.25" thickTop="1" thickBot="1" x14ac:dyDescent="0.25">
      <c r="A42" s="11"/>
      <c r="B42" s="12" t="s">
        <v>0</v>
      </c>
      <c r="C42" s="13" t="s">
        <v>1</v>
      </c>
      <c r="D42" s="14" t="s">
        <v>4</v>
      </c>
    </row>
    <row r="43" spans="1:16" s="26" customFormat="1" ht="15.75" thickTop="1" thickBot="1" x14ac:dyDescent="0.25">
      <c r="A43" s="24" t="s">
        <v>738</v>
      </c>
      <c r="B43" s="25">
        <f>'8a) OK 2017'!B571+'8c) SMN'!I19+'8b) Projekty spolufinancované'!J222</f>
        <v>1085712000</v>
      </c>
      <c r="C43" s="25">
        <f>'8a) OK 2017'!C571+'8c) SMN'!J19+'8b) Projekty spolufinancované'!K222</f>
        <v>1041412523.9399999</v>
      </c>
      <c r="D43" s="574">
        <f>'8a) OK 2017'!D571+'8c) SMN'!K19+'8b) Projekty spolufinancované'!L222</f>
        <v>898444928.77999985</v>
      </c>
      <c r="H43" s="558" t="s">
        <v>713</v>
      </c>
      <c r="I43" s="177">
        <f>'8a) OK 2017'!J565</f>
        <v>0</v>
      </c>
      <c r="J43" s="177">
        <f>'8a) OK 2017'!K565</f>
        <v>1531000</v>
      </c>
      <c r="K43" s="177">
        <f>'8a) OK 2017'!L565</f>
        <v>1524283</v>
      </c>
      <c r="N43" s="658">
        <f>I43+I44+I45+I49</f>
        <v>777779000</v>
      </c>
      <c r="O43" s="658">
        <f>J43+J44+J45+J49</f>
        <v>488303607.59999996</v>
      </c>
      <c r="P43" s="658">
        <f>K43+K44+K45+K49</f>
        <v>396258813.75999999</v>
      </c>
    </row>
    <row r="44" spans="1:16" s="26" customFormat="1" ht="15" thickBot="1" x14ac:dyDescent="0.25">
      <c r="A44" s="169" t="s">
        <v>739</v>
      </c>
      <c r="B44" s="170">
        <f>'8b) Projekty spolufinancované'!J223</f>
        <v>0</v>
      </c>
      <c r="C44" s="170">
        <f>'8b) Projekty spolufinancované'!K223</f>
        <v>21925096.520000003</v>
      </c>
      <c r="D44" s="575">
        <f>'8b) Projekty spolufinancované'!L223</f>
        <v>21925096.520000003</v>
      </c>
      <c r="F44" s="659" t="s">
        <v>710</v>
      </c>
      <c r="G44" s="660"/>
      <c r="H44" s="558" t="s">
        <v>40</v>
      </c>
      <c r="I44" s="177">
        <f>'8a) OK 2017'!J566</f>
        <v>560000</v>
      </c>
      <c r="J44" s="177">
        <f>'8a) OK 2017'!K566</f>
        <v>25315814</v>
      </c>
      <c r="K44" s="177">
        <f>'8a) OK 2017'!L566</f>
        <v>20766441.719999999</v>
      </c>
      <c r="N44" s="658">
        <f>I53</f>
        <v>75929000</v>
      </c>
      <c r="O44" s="658">
        <f>J53</f>
        <v>437267326.07999998</v>
      </c>
      <c r="P44" s="658">
        <f t="shared" ref="P44" si="10">K53</f>
        <v>437164286.34999996</v>
      </c>
    </row>
    <row r="45" spans="1:16" s="26" customFormat="1" ht="15.75" thickTop="1" thickBot="1" x14ac:dyDescent="0.25">
      <c r="A45" s="169" t="s">
        <v>740</v>
      </c>
      <c r="B45" s="170">
        <f>'8b) Projekty spolufinancované'!J221</f>
        <v>0</v>
      </c>
      <c r="C45" s="170">
        <f>'8b) Projekty spolufinancované'!K221</f>
        <v>183833282.94</v>
      </c>
      <c r="D45" s="575">
        <f>'8b) Projekty spolufinancované'!L221</f>
        <v>161462326.19</v>
      </c>
      <c r="F45" s="566" t="s">
        <v>717</v>
      </c>
      <c r="G45" s="569">
        <f>C45-D45</f>
        <v>22370956.75</v>
      </c>
      <c r="H45" s="558" t="s">
        <v>715</v>
      </c>
      <c r="I45" s="177">
        <f>'8a) OK 2017'!J567</f>
        <v>400000000</v>
      </c>
      <c r="J45" s="177">
        <f>'8a) OK 2017'!K567</f>
        <v>0</v>
      </c>
      <c r="K45" s="177">
        <f>'8a) OK 2017'!L567</f>
        <v>0</v>
      </c>
      <c r="N45" s="658">
        <f>I54-'8c) SMN'!B14</f>
        <v>24564000</v>
      </c>
      <c r="O45" s="658">
        <f>J54-'8c) SMN'!J18</f>
        <v>26777482</v>
      </c>
      <c r="P45" s="658">
        <f>K54-'8c) SMN'!K18</f>
        <v>15156647.399999999</v>
      </c>
    </row>
    <row r="46" spans="1:16" s="27" customFormat="1" ht="17.25" thickTop="1" thickBot="1" x14ac:dyDescent="0.3">
      <c r="A46" s="19" t="s">
        <v>27</v>
      </c>
      <c r="B46" s="20">
        <f>SUM(B43:B45)</f>
        <v>1085712000</v>
      </c>
      <c r="C46" s="20">
        <f t="shared" ref="C46:D46" si="11">SUM(C43:C45)</f>
        <v>1247170903.3999999</v>
      </c>
      <c r="D46" s="576">
        <f t="shared" si="11"/>
        <v>1081832351.4899998</v>
      </c>
      <c r="F46" s="565" t="s">
        <v>716</v>
      </c>
      <c r="G46" s="570">
        <f>-(3748600.06+431910.95+516340.78+8166108.98+353100.4)+1431</f>
        <v>-13214630.17</v>
      </c>
      <c r="H46" s="558" t="s">
        <v>41</v>
      </c>
      <c r="I46" s="177">
        <f>'8a) OK 2017'!J568</f>
        <v>1544000</v>
      </c>
      <c r="J46" s="177">
        <f>'8a) OK 2017'!K568</f>
        <v>1544000</v>
      </c>
      <c r="K46" s="177">
        <f>'8a) OK 2017'!L568</f>
        <v>1541274.01</v>
      </c>
      <c r="N46" s="658">
        <v>188000</v>
      </c>
      <c r="O46" s="658">
        <v>188000</v>
      </c>
      <c r="P46" s="658">
        <v>128800.62</v>
      </c>
    </row>
    <row r="47" spans="1:16" s="27" customFormat="1" ht="17.25" customHeight="1" thickTop="1" thickBot="1" x14ac:dyDescent="0.25">
      <c r="D47" s="641"/>
      <c r="F47" s="565" t="s">
        <v>718</v>
      </c>
      <c r="G47" s="571">
        <v>-9156326.5800000001</v>
      </c>
      <c r="H47" s="558" t="s">
        <v>455</v>
      </c>
      <c r="I47" s="177">
        <f>'8a) OK 2017'!J569</f>
        <v>0</v>
      </c>
      <c r="J47" s="177">
        <f>'8a) OK 2017'!K569</f>
        <v>800000</v>
      </c>
      <c r="K47" s="177">
        <f>'8a) OK 2017'!L569</f>
        <v>0</v>
      </c>
      <c r="N47" s="641">
        <f>SUM(N43:N46)</f>
        <v>878460000</v>
      </c>
      <c r="O47" s="641">
        <f t="shared" ref="O47:P47" si="12">SUM(O43:O46)</f>
        <v>952536415.67999995</v>
      </c>
      <c r="P47" s="641">
        <f t="shared" si="12"/>
        <v>848708548.12999988</v>
      </c>
    </row>
    <row r="48" spans="1:16" s="22" customFormat="1" ht="17.25" customHeight="1" thickTop="1" thickBot="1" x14ac:dyDescent="0.25">
      <c r="B48" s="643"/>
      <c r="F48" s="567"/>
      <c r="G48" s="568">
        <f>SUM(G45:G47)</f>
        <v>0</v>
      </c>
      <c r="H48" s="559" t="s">
        <v>36</v>
      </c>
      <c r="I48" s="130">
        <f>'8a) OK 2017'!J562</f>
        <v>2501000</v>
      </c>
      <c r="J48" s="130">
        <f>'8a) OK 2017'!K562</f>
        <v>4521520</v>
      </c>
      <c r="K48" s="130">
        <f>'8a) OK 2017'!L562</f>
        <v>3731134.7</v>
      </c>
    </row>
    <row r="49" spans="1:13" s="22" customFormat="1" x14ac:dyDescent="0.2">
      <c r="A49" s="661" t="s">
        <v>728</v>
      </c>
      <c r="B49" s="662"/>
      <c r="C49" s="662"/>
      <c r="D49" s="663"/>
      <c r="F49" s="113"/>
      <c r="G49" s="28"/>
      <c r="H49" s="560" t="s">
        <v>33</v>
      </c>
      <c r="I49" s="127">
        <f>'8a) OK 2017'!J563</f>
        <v>377219000</v>
      </c>
      <c r="J49" s="127">
        <f>'8a) OK 2017'!K563</f>
        <v>461456793.59999996</v>
      </c>
      <c r="K49" s="127">
        <f>'8a) OK 2017'!L563</f>
        <v>373968089.03999996</v>
      </c>
    </row>
    <row r="50" spans="1:13" s="22" customFormat="1" x14ac:dyDescent="0.2">
      <c r="A50" s="664"/>
      <c r="B50" s="665"/>
      <c r="C50" s="665"/>
      <c r="D50" s="666"/>
      <c r="H50" s="561" t="s">
        <v>39</v>
      </c>
      <c r="I50" s="174">
        <f>'8b) Projekty spolufinancované'!J212</f>
        <v>48692000</v>
      </c>
      <c r="J50" s="174">
        <f>'8b) Projekty spolufinancované'!K212</f>
        <v>138720454.94999999</v>
      </c>
      <c r="K50" s="174">
        <f>'8b) Projekty spolufinancované'!L212</f>
        <v>118834698.64</v>
      </c>
    </row>
    <row r="51" spans="1:13" s="28" customFormat="1" ht="15.75" x14ac:dyDescent="0.25">
      <c r="A51" s="577"/>
      <c r="B51" s="578">
        <f>B46-1544000-2501000+188000</f>
        <v>1081855000</v>
      </c>
      <c r="C51" s="579"/>
      <c r="D51" s="580"/>
      <c r="H51" s="562" t="s">
        <v>43</v>
      </c>
      <c r="I51" s="184">
        <f>'8b) Projekty spolufinancované'!J213</f>
        <v>114575000</v>
      </c>
      <c r="J51" s="184">
        <f>'8b) Projekty spolufinancované'!K213</f>
        <v>129955642.77</v>
      </c>
      <c r="K51" s="184">
        <f>'8b) Projekty spolufinancované'!L213</f>
        <v>103349096.13</v>
      </c>
    </row>
    <row r="52" spans="1:13" s="28" customFormat="1" x14ac:dyDescent="0.2">
      <c r="A52" s="112"/>
      <c r="B52" s="113"/>
      <c r="E52" s="113"/>
      <c r="F52" s="112"/>
      <c r="G52" s="113"/>
      <c r="H52" s="563" t="s">
        <v>37</v>
      </c>
      <c r="I52" s="183">
        <f>'8b) Projekty spolufinancované'!J214</f>
        <v>39928000</v>
      </c>
      <c r="J52" s="183">
        <f>'8b) Projekty spolufinancované'!K214</f>
        <v>18795500</v>
      </c>
      <c r="K52" s="183">
        <f>'8b) Projekty spolufinancované'!L214</f>
        <v>5311030.5</v>
      </c>
      <c r="L52" s="111"/>
      <c r="M52" s="111"/>
    </row>
    <row r="53" spans="1:13" s="28" customFormat="1" x14ac:dyDescent="0.2">
      <c r="A53" s="111"/>
      <c r="B53" s="111"/>
      <c r="E53" s="111"/>
      <c r="F53" s="111"/>
      <c r="G53" s="111"/>
      <c r="H53" s="564" t="s">
        <v>35</v>
      </c>
      <c r="I53" s="176">
        <f>'8a) OK 2017'!J564+'8b) Projekty spolufinancované'!J215</f>
        <v>75929000</v>
      </c>
      <c r="J53" s="176">
        <f>'8a) OK 2017'!K564+'8b) Projekty spolufinancované'!K215</f>
        <v>437267326.07999998</v>
      </c>
      <c r="K53" s="176">
        <f>'8a) OK 2017'!L564+'8b) Projekty spolufinancované'!L215</f>
        <v>437164286.34999996</v>
      </c>
      <c r="L53" s="111"/>
      <c r="M53" s="111"/>
    </row>
    <row r="54" spans="1:13" s="28" customFormat="1" x14ac:dyDescent="0.2">
      <c r="A54" s="111"/>
      <c r="B54" s="111"/>
      <c r="E54" s="111"/>
      <c r="F54" s="111"/>
      <c r="G54" s="111"/>
      <c r="H54" s="572" t="s">
        <v>727</v>
      </c>
      <c r="I54" s="573">
        <f>'8c) SMN'!I19</f>
        <v>24764000</v>
      </c>
      <c r="J54" s="573">
        <f>'8c) SMN'!J19</f>
        <v>27262852</v>
      </c>
      <c r="K54" s="573">
        <f>'8c) SMN'!K19</f>
        <v>15642017.399999999</v>
      </c>
      <c r="L54" s="111"/>
      <c r="M54" s="111"/>
    </row>
    <row r="55" spans="1:13" s="28" customFormat="1" ht="15" x14ac:dyDescent="0.25">
      <c r="H55" s="22"/>
      <c r="I55" s="148">
        <f>SUM(I43:I54)</f>
        <v>1085712000</v>
      </c>
      <c r="J55" s="148">
        <f t="shared" ref="J55:K55" si="13">SUM(J43:J54)</f>
        <v>1247170903.3999999</v>
      </c>
      <c r="K55" s="148">
        <f t="shared" si="13"/>
        <v>1081832351.49</v>
      </c>
    </row>
    <row r="56" spans="1:13" s="28" customFormat="1" x14ac:dyDescent="0.2"/>
    <row r="57" spans="1:13" s="28" customFormat="1" x14ac:dyDescent="0.2"/>
    <row r="58" spans="1:13" s="28" customFormat="1" x14ac:dyDescent="0.2"/>
    <row r="59" spans="1:13" s="28" customFormat="1" x14ac:dyDescent="0.2"/>
    <row r="60" spans="1:13" s="28" customFormat="1" x14ac:dyDescent="0.2"/>
    <row r="61" spans="1:13" s="28" customFormat="1" x14ac:dyDescent="0.2"/>
    <row r="62" spans="1:13" s="28" customFormat="1" x14ac:dyDescent="0.2">
      <c r="J62" s="657">
        <f>D28-(1076448474.44-30749.08-211922.99)</f>
        <v>5626549.1199996471</v>
      </c>
    </row>
    <row r="63" spans="1:13" s="28" customFormat="1" x14ac:dyDescent="0.2">
      <c r="J63" s="657">
        <v>5541000</v>
      </c>
    </row>
    <row r="64" spans="1:13" s="28" customFormat="1" x14ac:dyDescent="0.2">
      <c r="J64" s="657">
        <f>J62-J63</f>
        <v>85549.119999647141</v>
      </c>
    </row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</sheetData>
  <mergeCells count="2">
    <mergeCell ref="F44:G44"/>
    <mergeCell ref="A49:D50"/>
  </mergeCells>
  <pageMargins left="0.78740157480314965" right="0.78740157480314965" top="0.98425196850393704" bottom="0.98425196850393704" header="0.51181102362204722" footer="0.51181102362204722"/>
  <pageSetup paperSize="9" scale="92" firstPageNumber="168" orientation="portrait" useFirstPageNumber="1" r:id="rId1"/>
  <headerFooter alignWithMargins="0">
    <oddFooter xml:space="preserve">&amp;L&amp;"Arial,Kurzíva"Zastupitelstvo Olomouckého kraje 25. 6. 2018
5. - Rozpočet Olomouckého kraje 2017 - závěrečný účet
Příloha č. 8: Přehled financování oprav a investic v roce 2017&amp;R&amp;"Arial,Kurzíva"Strana &amp;P (celkem 478)
</oddFooter>
  </headerFooter>
  <ignoredErrors>
    <ignoredError sqref="B8:D8 B5:D5 B14:D14 C22:D22 B24:D24 B26:D26 B23:D23 B25:D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587"/>
  <sheetViews>
    <sheetView showGridLines="0" view="pageBreakPreview" zoomScaleNormal="100" zoomScaleSheetLayoutView="100" workbookViewId="0">
      <selection activeCell="A497" sqref="A497"/>
    </sheetView>
  </sheetViews>
  <sheetFormatPr defaultRowHeight="12.75" x14ac:dyDescent="0.2"/>
  <cols>
    <col min="1" max="1" width="77.7109375" style="5" customWidth="1"/>
    <col min="2" max="2" width="17.140625" style="5" customWidth="1"/>
    <col min="3" max="3" width="17.28515625" style="5" customWidth="1"/>
    <col min="4" max="4" width="17.28515625" style="5" bestFit="1" customWidth="1"/>
    <col min="5" max="5" width="7.5703125" style="37" customWidth="1"/>
    <col min="6" max="6" width="8.85546875" style="93" customWidth="1"/>
    <col min="7" max="7" width="22.42578125" style="38" customWidth="1"/>
    <col min="8" max="8" width="16.140625" style="38" customWidth="1"/>
    <col min="9" max="9" width="20.5703125" style="5" customWidth="1"/>
    <col min="10" max="10" width="18.28515625" style="5" customWidth="1"/>
    <col min="11" max="11" width="20.7109375" style="5" customWidth="1"/>
    <col min="12" max="12" width="17.5703125" style="5" customWidth="1"/>
    <col min="13" max="16384" width="9.140625" style="5"/>
  </cols>
  <sheetData>
    <row r="1" spans="1:11" s="32" customFormat="1" ht="18" x14ac:dyDescent="0.25">
      <c r="A1" s="29" t="s">
        <v>207</v>
      </c>
      <c r="B1" s="29"/>
      <c r="C1" s="29"/>
      <c r="D1" s="29"/>
      <c r="E1" s="29"/>
      <c r="F1" s="92"/>
      <c r="G1" s="30"/>
      <c r="H1" s="31"/>
    </row>
    <row r="2" spans="1:11" s="35" customFormat="1" ht="15.75" x14ac:dyDescent="0.25">
      <c r="A2" s="33" t="s">
        <v>206</v>
      </c>
      <c r="B2" s="34"/>
      <c r="C2" s="34"/>
      <c r="D2" s="34"/>
      <c r="E2" s="34"/>
      <c r="F2" s="92"/>
      <c r="G2" s="30"/>
      <c r="H2" s="31"/>
    </row>
    <row r="3" spans="1:11" ht="12" customHeight="1" x14ac:dyDescent="0.2"/>
    <row r="4" spans="1:11" ht="15" customHeight="1" x14ac:dyDescent="0.25">
      <c r="A4" s="36" t="s">
        <v>19</v>
      </c>
    </row>
    <row r="5" spans="1:11" ht="15.75" thickBot="1" x14ac:dyDescent="0.3">
      <c r="A5" s="39" t="s">
        <v>229</v>
      </c>
      <c r="D5" s="3"/>
      <c r="E5" s="40" t="s">
        <v>18</v>
      </c>
    </row>
    <row r="6" spans="1:11" ht="14.25" thickTop="1" thickBot="1" x14ac:dyDescent="0.25">
      <c r="A6" s="41" t="s">
        <v>5</v>
      </c>
      <c r="B6" s="42" t="s">
        <v>0</v>
      </c>
      <c r="C6" s="43" t="s">
        <v>1</v>
      </c>
      <c r="D6" s="44" t="s">
        <v>4</v>
      </c>
      <c r="E6" s="45" t="s">
        <v>6</v>
      </c>
    </row>
    <row r="7" spans="1:11" ht="15.75" thickTop="1" x14ac:dyDescent="0.25">
      <c r="A7" s="46" t="s">
        <v>7</v>
      </c>
      <c r="B7" s="47">
        <f>SUM(B8:B65)</f>
        <v>233351000</v>
      </c>
      <c r="C7" s="47">
        <f t="shared" ref="C7:D7" si="0">SUM(C8:C65)</f>
        <v>257028000</v>
      </c>
      <c r="D7" s="47">
        <f t="shared" si="0"/>
        <v>225073903.63999996</v>
      </c>
      <c r="E7" s="48">
        <f t="shared" ref="E7:E38" si="1">D7/C7*100</f>
        <v>87.56785394587358</v>
      </c>
      <c r="H7" s="57"/>
      <c r="I7" s="132"/>
      <c r="J7" s="133"/>
      <c r="K7" s="134"/>
    </row>
    <row r="8" spans="1:11" s="50" customFormat="1" x14ac:dyDescent="0.2">
      <c r="A8" s="612" t="s">
        <v>50</v>
      </c>
      <c r="B8" s="613">
        <v>17241000</v>
      </c>
      <c r="C8" s="614">
        <v>17438000</v>
      </c>
      <c r="D8" s="613">
        <v>17403219.800000001</v>
      </c>
      <c r="E8" s="615">
        <f t="shared" si="1"/>
        <v>99.800549374928323</v>
      </c>
      <c r="F8" s="82">
        <v>100026</v>
      </c>
      <c r="G8" s="118" t="s">
        <v>33</v>
      </c>
      <c r="H8" s="135"/>
      <c r="I8" s="136"/>
      <c r="J8" s="136"/>
      <c r="K8" s="136"/>
    </row>
    <row r="9" spans="1:11" s="50" customFormat="1" x14ac:dyDescent="0.2">
      <c r="A9" s="242" t="s">
        <v>191</v>
      </c>
      <c r="B9" s="243">
        <v>21250000</v>
      </c>
      <c r="C9" s="244">
        <v>26238481</v>
      </c>
      <c r="D9" s="243">
        <v>22227503.16</v>
      </c>
      <c r="E9" s="245">
        <f t="shared" si="1"/>
        <v>84.713376357419463</v>
      </c>
      <c r="F9" s="82">
        <v>100192</v>
      </c>
      <c r="G9" s="118" t="s">
        <v>33</v>
      </c>
      <c r="H9" s="135"/>
      <c r="I9" s="136"/>
      <c r="J9" s="136"/>
      <c r="K9" s="136"/>
    </row>
    <row r="10" spans="1:11" s="50" customFormat="1" x14ac:dyDescent="0.2">
      <c r="A10" s="242" t="s">
        <v>118</v>
      </c>
      <c r="B10" s="243">
        <v>18000000</v>
      </c>
      <c r="C10" s="244">
        <v>12747000</v>
      </c>
      <c r="D10" s="243">
        <v>12722111</v>
      </c>
      <c r="E10" s="245">
        <f t="shared" si="1"/>
        <v>99.804746214795642</v>
      </c>
      <c r="F10" s="82">
        <v>100210</v>
      </c>
      <c r="G10" s="118" t="s">
        <v>33</v>
      </c>
      <c r="H10" s="135"/>
      <c r="I10" s="136"/>
      <c r="J10" s="136"/>
      <c r="K10" s="136"/>
    </row>
    <row r="11" spans="1:11" s="50" customFormat="1" x14ac:dyDescent="0.2">
      <c r="A11" s="242" t="s">
        <v>248</v>
      </c>
      <c r="B11" s="243">
        <v>0</v>
      </c>
      <c r="C11" s="244">
        <v>44900</v>
      </c>
      <c r="D11" s="243">
        <v>43980</v>
      </c>
      <c r="E11" s="245">
        <f t="shared" si="1"/>
        <v>97.951002227171486</v>
      </c>
      <c r="F11" s="82">
        <v>100369</v>
      </c>
      <c r="G11" s="118" t="s">
        <v>33</v>
      </c>
      <c r="H11" s="135"/>
      <c r="I11" s="136"/>
      <c r="J11" s="136"/>
      <c r="K11" s="136"/>
    </row>
    <row r="12" spans="1:11" s="89" customFormat="1" ht="25.5" x14ac:dyDescent="0.2">
      <c r="A12" s="242" t="s">
        <v>119</v>
      </c>
      <c r="B12" s="243">
        <v>7324000</v>
      </c>
      <c r="C12" s="246">
        <v>7379810.5499999998</v>
      </c>
      <c r="D12" s="246">
        <v>7379810.5499999998</v>
      </c>
      <c r="E12" s="245">
        <f t="shared" si="1"/>
        <v>100</v>
      </c>
      <c r="F12" s="82">
        <v>100698</v>
      </c>
      <c r="G12" s="118" t="s">
        <v>33</v>
      </c>
      <c r="H12" s="137"/>
      <c r="I12" s="138"/>
      <c r="J12" s="138"/>
      <c r="K12" s="138"/>
    </row>
    <row r="13" spans="1:11" s="89" customFormat="1" ht="25.5" x14ac:dyDescent="0.2">
      <c r="A13" s="242" t="s">
        <v>249</v>
      </c>
      <c r="B13" s="243">
        <v>12303000</v>
      </c>
      <c r="C13" s="246">
        <v>15353000</v>
      </c>
      <c r="D13" s="246">
        <v>15314799.060000001</v>
      </c>
      <c r="E13" s="245">
        <f t="shared" si="1"/>
        <v>99.751182570181726</v>
      </c>
      <c r="F13" s="82">
        <v>100701</v>
      </c>
      <c r="G13" s="118" t="s">
        <v>33</v>
      </c>
      <c r="H13" s="137"/>
      <c r="I13" s="138"/>
      <c r="J13" s="138"/>
      <c r="K13" s="138"/>
    </row>
    <row r="14" spans="1:11" s="89" customFormat="1" ht="25.5" x14ac:dyDescent="0.2">
      <c r="A14" s="242" t="s">
        <v>250</v>
      </c>
      <c r="B14" s="243">
        <v>20000000</v>
      </c>
      <c r="C14" s="246">
        <v>774400</v>
      </c>
      <c r="D14" s="246">
        <v>766325</v>
      </c>
      <c r="E14" s="245">
        <f t="shared" si="1"/>
        <v>98.957257231404967</v>
      </c>
      <c r="F14" s="82">
        <v>100702</v>
      </c>
      <c r="G14" s="118" t="s">
        <v>33</v>
      </c>
      <c r="H14" s="137"/>
      <c r="I14" s="138"/>
      <c r="J14" s="138"/>
      <c r="K14" s="138"/>
    </row>
    <row r="15" spans="1:11" s="89" customFormat="1" x14ac:dyDescent="0.2">
      <c r="A15" s="242" t="s">
        <v>251</v>
      </c>
      <c r="B15" s="243">
        <v>0</v>
      </c>
      <c r="C15" s="246">
        <v>195000</v>
      </c>
      <c r="D15" s="246">
        <v>177023</v>
      </c>
      <c r="E15" s="245">
        <f t="shared" si="1"/>
        <v>90.781025641025636</v>
      </c>
      <c r="F15" s="82">
        <v>100704</v>
      </c>
      <c r="G15" s="118" t="s">
        <v>33</v>
      </c>
      <c r="H15" s="137"/>
      <c r="I15" s="138"/>
      <c r="J15" s="138"/>
      <c r="K15" s="138"/>
    </row>
    <row r="16" spans="1:11" s="89" customFormat="1" ht="25.5" x14ac:dyDescent="0.2">
      <c r="A16" s="247" t="s">
        <v>252</v>
      </c>
      <c r="B16" s="243">
        <v>0</v>
      </c>
      <c r="C16" s="246">
        <v>600000</v>
      </c>
      <c r="D16" s="246">
        <v>0</v>
      </c>
      <c r="E16" s="245">
        <f t="shared" si="1"/>
        <v>0</v>
      </c>
      <c r="F16" s="82">
        <v>100709</v>
      </c>
      <c r="G16" s="118" t="s">
        <v>33</v>
      </c>
      <c r="H16" s="88"/>
    </row>
    <row r="17" spans="1:12" s="89" customFormat="1" ht="25.5" x14ac:dyDescent="0.2">
      <c r="A17" s="247" t="s">
        <v>253</v>
      </c>
      <c r="B17" s="243">
        <v>0</v>
      </c>
      <c r="C17" s="246">
        <v>3297300.6</v>
      </c>
      <c r="D17" s="246">
        <v>3288800.6</v>
      </c>
      <c r="E17" s="245">
        <f t="shared" si="1"/>
        <v>99.742213372963334</v>
      </c>
      <c r="F17" s="82">
        <v>100800</v>
      </c>
      <c r="G17" s="118" t="s">
        <v>33</v>
      </c>
      <c r="H17" s="88"/>
    </row>
    <row r="18" spans="1:12" s="89" customFormat="1" x14ac:dyDescent="0.2">
      <c r="A18" s="247" t="s">
        <v>120</v>
      </c>
      <c r="B18" s="243">
        <v>3315000</v>
      </c>
      <c r="C18" s="244">
        <v>3801938.33</v>
      </c>
      <c r="D18" s="246">
        <v>3721888.1</v>
      </c>
      <c r="E18" s="245">
        <f t="shared" si="1"/>
        <v>97.894488993460342</v>
      </c>
      <c r="F18" s="82">
        <v>100943</v>
      </c>
      <c r="G18" s="118" t="s">
        <v>33</v>
      </c>
      <c r="H18" s="88"/>
      <c r="I18" s="129"/>
      <c r="J18" s="130"/>
      <c r="K18" s="130"/>
      <c r="L18" s="130"/>
    </row>
    <row r="19" spans="1:12" s="89" customFormat="1" ht="25.5" x14ac:dyDescent="0.2">
      <c r="A19" s="247" t="s">
        <v>121</v>
      </c>
      <c r="B19" s="243">
        <v>22900000</v>
      </c>
      <c r="C19" s="244">
        <v>17832598.120000001</v>
      </c>
      <c r="D19" s="246">
        <v>17820855.079999998</v>
      </c>
      <c r="E19" s="245">
        <f t="shared" si="1"/>
        <v>99.93414846271429</v>
      </c>
      <c r="F19" s="82">
        <v>101020</v>
      </c>
      <c r="G19" s="118" t="s">
        <v>33</v>
      </c>
      <c r="H19" s="88"/>
      <c r="I19" s="129"/>
      <c r="J19" s="130"/>
      <c r="K19" s="130"/>
      <c r="L19" s="130"/>
    </row>
    <row r="20" spans="1:12" s="89" customFormat="1" ht="25.5" x14ac:dyDescent="0.2">
      <c r="A20" s="247" t="s">
        <v>122</v>
      </c>
      <c r="B20" s="243">
        <v>5000000</v>
      </c>
      <c r="C20" s="244">
        <v>320728</v>
      </c>
      <c r="D20" s="246">
        <v>310728</v>
      </c>
      <c r="E20" s="245">
        <f t="shared" si="1"/>
        <v>96.882093237883822</v>
      </c>
      <c r="F20" s="82">
        <v>101021</v>
      </c>
      <c r="G20" s="118" t="s">
        <v>33</v>
      </c>
      <c r="H20" s="88"/>
      <c r="I20" s="129"/>
      <c r="J20" s="130"/>
      <c r="K20" s="130"/>
      <c r="L20" s="130"/>
    </row>
    <row r="21" spans="1:12" s="89" customFormat="1" x14ac:dyDescent="0.2">
      <c r="A21" s="247" t="s">
        <v>123</v>
      </c>
      <c r="B21" s="243">
        <v>0</v>
      </c>
      <c r="C21" s="244">
        <v>10865</v>
      </c>
      <c r="D21" s="246">
        <v>10865</v>
      </c>
      <c r="E21" s="245">
        <f t="shared" si="1"/>
        <v>100</v>
      </c>
      <c r="F21" s="82">
        <v>101023</v>
      </c>
      <c r="G21" s="118" t="s">
        <v>33</v>
      </c>
      <c r="H21" s="88"/>
      <c r="I21" s="129"/>
      <c r="J21" s="130"/>
      <c r="K21" s="130"/>
      <c r="L21" s="130"/>
    </row>
    <row r="22" spans="1:12" s="89" customFormat="1" ht="25.5" x14ac:dyDescent="0.2">
      <c r="A22" s="247" t="s">
        <v>124</v>
      </c>
      <c r="B22" s="243">
        <v>6471000</v>
      </c>
      <c r="C22" s="244">
        <v>8190673.4000000004</v>
      </c>
      <c r="D22" s="246">
        <v>8190673.4000000004</v>
      </c>
      <c r="E22" s="245">
        <f t="shared" si="1"/>
        <v>100</v>
      </c>
      <c r="F22" s="82">
        <v>101025</v>
      </c>
      <c r="G22" s="118" t="s">
        <v>33</v>
      </c>
      <c r="H22" s="88"/>
      <c r="I22" s="129"/>
      <c r="J22" s="130"/>
      <c r="K22" s="130"/>
      <c r="L22" s="130"/>
    </row>
    <row r="23" spans="1:12" s="89" customFormat="1" x14ac:dyDescent="0.2">
      <c r="A23" s="247" t="s">
        <v>125</v>
      </c>
      <c r="B23" s="243">
        <v>10360000</v>
      </c>
      <c r="C23" s="244">
        <v>13066100</v>
      </c>
      <c r="D23" s="246">
        <v>12760020.26</v>
      </c>
      <c r="E23" s="245">
        <f t="shared" si="1"/>
        <v>97.657451420087099</v>
      </c>
      <c r="F23" s="82">
        <v>101033</v>
      </c>
      <c r="G23" s="118" t="s">
        <v>33</v>
      </c>
      <c r="H23" s="88"/>
      <c r="I23" s="129"/>
      <c r="J23" s="130"/>
      <c r="K23" s="130"/>
      <c r="L23" s="130"/>
    </row>
    <row r="24" spans="1:12" s="89" customFormat="1" x14ac:dyDescent="0.2">
      <c r="A24" s="247" t="s">
        <v>126</v>
      </c>
      <c r="B24" s="243">
        <v>2669000</v>
      </c>
      <c r="C24" s="244">
        <v>4706579</v>
      </c>
      <c r="D24" s="246">
        <v>4706579</v>
      </c>
      <c r="E24" s="245">
        <f t="shared" si="1"/>
        <v>100</v>
      </c>
      <c r="F24" s="82">
        <v>101036</v>
      </c>
      <c r="G24" s="118" t="s">
        <v>33</v>
      </c>
      <c r="H24" s="88"/>
      <c r="I24" s="129"/>
      <c r="J24" s="130"/>
      <c r="K24" s="130"/>
      <c r="L24" s="130"/>
    </row>
    <row r="25" spans="1:12" s="89" customFormat="1" x14ac:dyDescent="0.2">
      <c r="A25" s="247" t="s">
        <v>127</v>
      </c>
      <c r="B25" s="243">
        <v>2200000</v>
      </c>
      <c r="C25" s="244">
        <v>2764300</v>
      </c>
      <c r="D25" s="246">
        <v>2732304.11</v>
      </c>
      <c r="E25" s="245">
        <f t="shared" si="1"/>
        <v>98.842531924899617</v>
      </c>
      <c r="F25" s="82">
        <v>101038</v>
      </c>
      <c r="G25" s="118" t="s">
        <v>33</v>
      </c>
      <c r="H25" s="88"/>
      <c r="I25" s="129"/>
      <c r="J25" s="130"/>
      <c r="K25" s="130"/>
      <c r="L25" s="130"/>
    </row>
    <row r="26" spans="1:12" s="89" customFormat="1" x14ac:dyDescent="0.2">
      <c r="A26" s="247" t="s">
        <v>128</v>
      </c>
      <c r="B26" s="243">
        <v>0</v>
      </c>
      <c r="C26" s="244">
        <v>255025.36</v>
      </c>
      <c r="D26" s="246">
        <v>255025.36</v>
      </c>
      <c r="E26" s="245">
        <f t="shared" si="1"/>
        <v>100</v>
      </c>
      <c r="F26" s="82">
        <v>101043</v>
      </c>
      <c r="G26" s="118" t="s">
        <v>33</v>
      </c>
      <c r="H26" s="88"/>
      <c r="I26" s="129"/>
      <c r="J26" s="130"/>
      <c r="K26" s="130"/>
      <c r="L26" s="130"/>
    </row>
    <row r="27" spans="1:12" s="89" customFormat="1" x14ac:dyDescent="0.2">
      <c r="A27" s="247" t="s">
        <v>129</v>
      </c>
      <c r="B27" s="243">
        <v>4530000</v>
      </c>
      <c r="C27" s="244">
        <v>4463000</v>
      </c>
      <c r="D27" s="246">
        <v>4273137.3899999997</v>
      </c>
      <c r="E27" s="245">
        <f t="shared" si="1"/>
        <v>95.745852341474333</v>
      </c>
      <c r="F27" s="82">
        <v>101045</v>
      </c>
      <c r="G27" s="118" t="s">
        <v>33</v>
      </c>
      <c r="H27" s="88"/>
      <c r="I27" s="129"/>
      <c r="J27" s="130"/>
      <c r="K27" s="130"/>
      <c r="L27" s="130"/>
    </row>
    <row r="28" spans="1:12" s="89" customFormat="1" ht="25.5" x14ac:dyDescent="0.2">
      <c r="A28" s="247" t="s">
        <v>130</v>
      </c>
      <c r="B28" s="243">
        <v>8650000</v>
      </c>
      <c r="C28" s="244">
        <v>7106100</v>
      </c>
      <c r="D28" s="246">
        <v>7035082.75</v>
      </c>
      <c r="E28" s="245">
        <f t="shared" si="1"/>
        <v>99.000615668228704</v>
      </c>
      <c r="F28" s="82">
        <v>101047</v>
      </c>
      <c r="G28" s="118" t="s">
        <v>33</v>
      </c>
      <c r="H28" s="88"/>
      <c r="I28" s="129"/>
      <c r="J28" s="130"/>
      <c r="K28" s="130"/>
      <c r="L28" s="130"/>
    </row>
    <row r="29" spans="1:12" s="89" customFormat="1" ht="25.5" x14ac:dyDescent="0.2">
      <c r="A29" s="247" t="s">
        <v>131</v>
      </c>
      <c r="B29" s="243">
        <v>1500000</v>
      </c>
      <c r="C29" s="244">
        <v>1809884</v>
      </c>
      <c r="D29" s="246">
        <v>1806078.9</v>
      </c>
      <c r="E29" s="245">
        <f t="shared" si="1"/>
        <v>99.789760006718652</v>
      </c>
      <c r="F29" s="82">
        <v>101048</v>
      </c>
      <c r="G29" s="118" t="s">
        <v>33</v>
      </c>
      <c r="H29" s="88"/>
      <c r="I29" s="129"/>
      <c r="J29" s="130"/>
      <c r="K29" s="130"/>
      <c r="L29" s="130"/>
    </row>
    <row r="30" spans="1:12" s="89" customFormat="1" ht="25.5" x14ac:dyDescent="0.2">
      <c r="A30" s="247" t="s">
        <v>132</v>
      </c>
      <c r="B30" s="243">
        <v>15400000</v>
      </c>
      <c r="C30" s="244">
        <v>12556785</v>
      </c>
      <c r="D30" s="246">
        <v>4938320.66</v>
      </c>
      <c r="E30" s="245">
        <f t="shared" si="1"/>
        <v>39.327906466503961</v>
      </c>
      <c r="F30" s="82">
        <v>101054</v>
      </c>
      <c r="G30" s="118" t="s">
        <v>33</v>
      </c>
      <c r="H30" s="88"/>
      <c r="I30" s="129"/>
      <c r="J30" s="130"/>
      <c r="K30" s="130"/>
      <c r="L30" s="130"/>
    </row>
    <row r="31" spans="1:12" s="89" customFormat="1" x14ac:dyDescent="0.2">
      <c r="A31" s="247" t="s">
        <v>133</v>
      </c>
      <c r="B31" s="243">
        <v>700000</v>
      </c>
      <c r="C31" s="244">
        <v>3240716.67</v>
      </c>
      <c r="D31" s="246">
        <v>3240716.67</v>
      </c>
      <c r="E31" s="245">
        <f t="shared" si="1"/>
        <v>100</v>
      </c>
      <c r="F31" s="82">
        <v>101059</v>
      </c>
      <c r="G31" s="118" t="s">
        <v>33</v>
      </c>
      <c r="H31" s="88"/>
      <c r="I31" s="129"/>
      <c r="J31" s="130"/>
      <c r="K31" s="130"/>
      <c r="L31" s="130"/>
    </row>
    <row r="32" spans="1:12" s="89" customFormat="1" ht="25.5" x14ac:dyDescent="0.2">
      <c r="A32" s="247" t="s">
        <v>134</v>
      </c>
      <c r="B32" s="243">
        <v>12100000</v>
      </c>
      <c r="C32" s="244">
        <v>8242974.5099999998</v>
      </c>
      <c r="D32" s="246">
        <v>7243355</v>
      </c>
      <c r="E32" s="245">
        <f t="shared" si="1"/>
        <v>87.873072896351829</v>
      </c>
      <c r="F32" s="82">
        <v>101101</v>
      </c>
      <c r="G32" s="118" t="s">
        <v>33</v>
      </c>
      <c r="H32" s="88"/>
      <c r="I32" s="129"/>
      <c r="J32" s="130"/>
      <c r="K32" s="130"/>
      <c r="L32" s="130"/>
    </row>
    <row r="33" spans="1:12" s="89" customFormat="1" x14ac:dyDescent="0.2">
      <c r="A33" s="247" t="s">
        <v>135</v>
      </c>
      <c r="B33" s="243">
        <v>8959000</v>
      </c>
      <c r="C33" s="244">
        <v>4158877.29</v>
      </c>
      <c r="D33" s="246">
        <v>3764153.5</v>
      </c>
      <c r="E33" s="245">
        <f t="shared" si="1"/>
        <v>90.508885872898645</v>
      </c>
      <c r="F33" s="82">
        <v>101105</v>
      </c>
      <c r="G33" s="118" t="s">
        <v>33</v>
      </c>
      <c r="H33" s="88"/>
      <c r="I33" s="129"/>
      <c r="J33" s="130"/>
      <c r="K33" s="130"/>
      <c r="L33" s="130"/>
    </row>
    <row r="34" spans="1:12" s="89" customFormat="1" x14ac:dyDescent="0.2">
      <c r="A34" s="247" t="s">
        <v>136</v>
      </c>
      <c r="B34" s="243">
        <v>2940000</v>
      </c>
      <c r="C34" s="244">
        <v>4027000</v>
      </c>
      <c r="D34" s="246">
        <v>3950979.2</v>
      </c>
      <c r="E34" s="245">
        <f t="shared" si="1"/>
        <v>98.112222498137584</v>
      </c>
      <c r="F34" s="82">
        <v>101106</v>
      </c>
      <c r="G34" s="118" t="s">
        <v>33</v>
      </c>
      <c r="H34" s="88"/>
      <c r="I34" s="129"/>
      <c r="J34" s="130"/>
      <c r="K34" s="130"/>
      <c r="L34" s="130"/>
    </row>
    <row r="35" spans="1:12" s="89" customFormat="1" ht="25.5" x14ac:dyDescent="0.2">
      <c r="A35" s="247" t="s">
        <v>137</v>
      </c>
      <c r="B35" s="243">
        <v>5518000</v>
      </c>
      <c r="C35" s="244">
        <v>5368000</v>
      </c>
      <c r="D35" s="246">
        <v>4461266</v>
      </c>
      <c r="E35" s="245">
        <f t="shared" si="1"/>
        <v>83.108532041728765</v>
      </c>
      <c r="F35" s="82">
        <v>101110</v>
      </c>
      <c r="G35" s="118" t="s">
        <v>33</v>
      </c>
      <c r="H35" s="88"/>
      <c r="I35" s="129"/>
      <c r="J35" s="130"/>
      <c r="K35" s="130"/>
      <c r="L35" s="130"/>
    </row>
    <row r="36" spans="1:12" s="89" customFormat="1" x14ac:dyDescent="0.2">
      <c r="A36" s="247" t="s">
        <v>138</v>
      </c>
      <c r="B36" s="243">
        <v>9600000</v>
      </c>
      <c r="C36" s="244">
        <v>9600000</v>
      </c>
      <c r="D36" s="246">
        <v>767216</v>
      </c>
      <c r="E36" s="245">
        <f t="shared" si="1"/>
        <v>7.9918333333333331</v>
      </c>
      <c r="F36" s="82">
        <v>101116</v>
      </c>
      <c r="G36" s="118" t="s">
        <v>33</v>
      </c>
      <c r="H36" s="88"/>
      <c r="I36" s="129"/>
      <c r="J36" s="130"/>
      <c r="K36" s="130"/>
      <c r="L36" s="130"/>
    </row>
    <row r="37" spans="1:12" s="89" customFormat="1" ht="25.5" x14ac:dyDescent="0.2">
      <c r="A37" s="247" t="s">
        <v>139</v>
      </c>
      <c r="B37" s="243">
        <v>221000</v>
      </c>
      <c r="C37" s="244">
        <v>221000</v>
      </c>
      <c r="D37" s="246">
        <v>9680</v>
      </c>
      <c r="E37" s="245">
        <f t="shared" si="1"/>
        <v>4.3800904977375561</v>
      </c>
      <c r="F37" s="82">
        <v>101126</v>
      </c>
      <c r="G37" s="118" t="s">
        <v>33</v>
      </c>
      <c r="H37" s="88"/>
      <c r="I37" s="129"/>
      <c r="J37" s="130"/>
      <c r="K37" s="130"/>
      <c r="L37" s="130"/>
    </row>
    <row r="38" spans="1:12" s="89" customFormat="1" x14ac:dyDescent="0.2">
      <c r="A38" s="247" t="s">
        <v>140</v>
      </c>
      <c r="B38" s="243">
        <v>6000000</v>
      </c>
      <c r="C38" s="244">
        <v>6000000</v>
      </c>
      <c r="D38" s="246">
        <v>3284583.24</v>
      </c>
      <c r="E38" s="245">
        <f t="shared" si="1"/>
        <v>54.743054000000001</v>
      </c>
      <c r="F38" s="82">
        <v>101127</v>
      </c>
      <c r="G38" s="118" t="s">
        <v>33</v>
      </c>
      <c r="H38" s="88"/>
      <c r="I38" s="129"/>
      <c r="J38" s="130"/>
      <c r="K38" s="130"/>
      <c r="L38" s="130"/>
    </row>
    <row r="39" spans="1:12" s="89" customFormat="1" x14ac:dyDescent="0.2">
      <c r="A39" s="247" t="s">
        <v>141</v>
      </c>
      <c r="B39" s="243">
        <v>5200000</v>
      </c>
      <c r="C39" s="244">
        <v>3816700</v>
      </c>
      <c r="D39" s="246">
        <v>3788088.97</v>
      </c>
      <c r="E39" s="245">
        <f t="shared" ref="E39:E65" si="2">D39/C39*100</f>
        <v>99.250372573165308</v>
      </c>
      <c r="F39" s="82">
        <v>101128</v>
      </c>
      <c r="G39" s="118" t="s">
        <v>33</v>
      </c>
      <c r="H39" s="88"/>
      <c r="I39" s="129"/>
      <c r="J39" s="130"/>
      <c r="K39" s="130"/>
      <c r="L39" s="130"/>
    </row>
    <row r="40" spans="1:12" s="89" customFormat="1" ht="25.5" x14ac:dyDescent="0.2">
      <c r="A40" s="247" t="s">
        <v>142</v>
      </c>
      <c r="B40" s="243">
        <v>0</v>
      </c>
      <c r="C40" s="244">
        <v>156453</v>
      </c>
      <c r="D40" s="246">
        <v>0</v>
      </c>
      <c r="E40" s="245">
        <f t="shared" si="2"/>
        <v>0</v>
      </c>
      <c r="F40" s="82">
        <v>101142</v>
      </c>
      <c r="G40" s="118" t="s">
        <v>33</v>
      </c>
      <c r="H40" s="88"/>
      <c r="I40" s="129"/>
      <c r="J40" s="130"/>
      <c r="K40" s="130"/>
      <c r="L40" s="130"/>
    </row>
    <row r="41" spans="1:12" s="89" customFormat="1" x14ac:dyDescent="0.2">
      <c r="A41" s="247" t="s">
        <v>143</v>
      </c>
      <c r="B41" s="243">
        <v>3000000</v>
      </c>
      <c r="C41" s="244">
        <v>13024587.119999999</v>
      </c>
      <c r="D41" s="246">
        <v>12928187.109999999</v>
      </c>
      <c r="E41" s="245">
        <f t="shared" si="2"/>
        <v>99.259861298390234</v>
      </c>
      <c r="F41" s="82">
        <v>101173</v>
      </c>
      <c r="G41" s="118" t="s">
        <v>33</v>
      </c>
      <c r="H41" s="192"/>
      <c r="I41" s="129"/>
      <c r="J41" s="130"/>
      <c r="K41" s="130"/>
      <c r="L41" s="130"/>
    </row>
    <row r="42" spans="1:12" s="89" customFormat="1" x14ac:dyDescent="0.2">
      <c r="A42" s="247" t="s">
        <v>254</v>
      </c>
      <c r="B42" s="243">
        <v>0</v>
      </c>
      <c r="C42" s="244">
        <v>3000000</v>
      </c>
      <c r="D42" s="246">
        <v>2581931</v>
      </c>
      <c r="E42" s="245">
        <f t="shared" si="2"/>
        <v>86.064366666666672</v>
      </c>
      <c r="F42" s="82">
        <v>101208</v>
      </c>
      <c r="G42" s="118" t="s">
        <v>33</v>
      </c>
      <c r="H42" s="192"/>
      <c r="I42" s="129"/>
      <c r="J42" s="130"/>
      <c r="K42" s="130"/>
      <c r="L42" s="130"/>
    </row>
    <row r="43" spans="1:12" s="89" customFormat="1" x14ac:dyDescent="0.2">
      <c r="A43" s="247" t="s">
        <v>255</v>
      </c>
      <c r="B43" s="243">
        <v>0</v>
      </c>
      <c r="C43" s="244">
        <v>3912928.8</v>
      </c>
      <c r="D43" s="246">
        <v>3912928.8</v>
      </c>
      <c r="E43" s="245">
        <f t="shared" si="2"/>
        <v>100</v>
      </c>
      <c r="F43" s="82">
        <v>101209</v>
      </c>
      <c r="G43" s="118" t="s">
        <v>33</v>
      </c>
      <c r="H43" s="192"/>
      <c r="I43" s="129"/>
      <c r="J43" s="130"/>
      <c r="K43" s="130"/>
      <c r="L43" s="130"/>
    </row>
    <row r="44" spans="1:12" s="89" customFormat="1" x14ac:dyDescent="0.2">
      <c r="A44" s="247" t="s">
        <v>256</v>
      </c>
      <c r="B44" s="243">
        <v>0</v>
      </c>
      <c r="C44" s="244">
        <v>627990</v>
      </c>
      <c r="D44" s="246">
        <v>627990</v>
      </c>
      <c r="E44" s="245">
        <f t="shared" si="2"/>
        <v>100</v>
      </c>
      <c r="F44" s="82">
        <v>101210</v>
      </c>
      <c r="G44" s="118" t="s">
        <v>33</v>
      </c>
      <c r="H44" s="192"/>
      <c r="I44" s="129"/>
      <c r="J44" s="130"/>
      <c r="K44" s="130"/>
      <c r="L44" s="130"/>
    </row>
    <row r="45" spans="1:12" s="89" customFormat="1" x14ac:dyDescent="0.2">
      <c r="A45" s="247" t="s">
        <v>257</v>
      </c>
      <c r="B45" s="243">
        <v>0</v>
      </c>
      <c r="C45" s="244">
        <v>3604800</v>
      </c>
      <c r="D45" s="246">
        <v>3598214.4</v>
      </c>
      <c r="E45" s="245">
        <f t="shared" si="2"/>
        <v>99.817310252996009</v>
      </c>
      <c r="F45" s="82">
        <v>101211</v>
      </c>
      <c r="G45" s="118" t="s">
        <v>33</v>
      </c>
      <c r="H45" s="192"/>
      <c r="I45" s="129"/>
      <c r="J45" s="130"/>
      <c r="K45" s="130"/>
      <c r="L45" s="130"/>
    </row>
    <row r="46" spans="1:12" s="89" customFormat="1" x14ac:dyDescent="0.2">
      <c r="A46" s="247" t="s">
        <v>258</v>
      </c>
      <c r="B46" s="243">
        <v>0</v>
      </c>
      <c r="C46" s="244">
        <v>1000000</v>
      </c>
      <c r="D46" s="246">
        <v>0</v>
      </c>
      <c r="E46" s="245">
        <f t="shared" si="2"/>
        <v>0</v>
      </c>
      <c r="F46" s="82">
        <v>101212</v>
      </c>
      <c r="G46" s="118" t="s">
        <v>33</v>
      </c>
      <c r="H46" s="192"/>
      <c r="I46" s="129"/>
      <c r="J46" s="130"/>
      <c r="K46" s="130"/>
      <c r="L46" s="130"/>
    </row>
    <row r="47" spans="1:12" s="89" customFormat="1" x14ac:dyDescent="0.2">
      <c r="A47" s="247" t="s">
        <v>259</v>
      </c>
      <c r="B47" s="243">
        <v>0</v>
      </c>
      <c r="C47" s="244">
        <v>1000000</v>
      </c>
      <c r="D47" s="246">
        <v>30250</v>
      </c>
      <c r="E47" s="245">
        <f t="shared" si="2"/>
        <v>3.0249999999999999</v>
      </c>
      <c r="F47" s="82">
        <v>101213</v>
      </c>
      <c r="G47" s="118" t="s">
        <v>33</v>
      </c>
      <c r="H47" s="192"/>
      <c r="I47" s="129"/>
      <c r="J47" s="130"/>
      <c r="K47" s="130"/>
      <c r="L47" s="130"/>
    </row>
    <row r="48" spans="1:12" s="89" customFormat="1" x14ac:dyDescent="0.2">
      <c r="A48" s="247" t="s">
        <v>260</v>
      </c>
      <c r="B48" s="243">
        <v>0</v>
      </c>
      <c r="C48" s="244">
        <v>250000</v>
      </c>
      <c r="D48" s="246">
        <v>152847.5</v>
      </c>
      <c r="E48" s="245">
        <f t="shared" si="2"/>
        <v>61.138999999999996</v>
      </c>
      <c r="F48" s="82">
        <v>101214</v>
      </c>
      <c r="G48" s="118" t="s">
        <v>33</v>
      </c>
      <c r="H48" s="192"/>
      <c r="I48" s="129"/>
      <c r="J48" s="130"/>
      <c r="K48" s="130"/>
      <c r="L48" s="130"/>
    </row>
    <row r="49" spans="1:12" s="89" customFormat="1" ht="25.5" x14ac:dyDescent="0.2">
      <c r="A49" s="247" t="s">
        <v>261</v>
      </c>
      <c r="B49" s="243">
        <v>0</v>
      </c>
      <c r="C49" s="244">
        <v>350000</v>
      </c>
      <c r="D49" s="246">
        <v>292252</v>
      </c>
      <c r="E49" s="245">
        <f t="shared" si="2"/>
        <v>83.500571428571419</v>
      </c>
      <c r="F49" s="82">
        <v>101215</v>
      </c>
      <c r="G49" s="118" t="s">
        <v>33</v>
      </c>
      <c r="H49" s="192"/>
      <c r="I49" s="129"/>
      <c r="J49" s="130"/>
      <c r="K49" s="130"/>
      <c r="L49" s="130"/>
    </row>
    <row r="50" spans="1:12" s="89" customFormat="1" x14ac:dyDescent="0.2">
      <c r="A50" s="247" t="s">
        <v>262</v>
      </c>
      <c r="B50" s="243">
        <v>0</v>
      </c>
      <c r="C50" s="244">
        <v>176360</v>
      </c>
      <c r="D50" s="246">
        <v>98494</v>
      </c>
      <c r="E50" s="245">
        <f t="shared" si="2"/>
        <v>55.848264912678616</v>
      </c>
      <c r="F50" s="82">
        <v>101216</v>
      </c>
      <c r="G50" s="118" t="s">
        <v>33</v>
      </c>
      <c r="H50" s="192"/>
      <c r="I50" s="129"/>
      <c r="J50" s="130"/>
      <c r="K50" s="130"/>
      <c r="L50" s="130"/>
    </row>
    <row r="51" spans="1:12" s="89" customFormat="1" ht="25.5" x14ac:dyDescent="0.2">
      <c r="A51" s="247" t="s">
        <v>745</v>
      </c>
      <c r="B51" s="243">
        <v>0</v>
      </c>
      <c r="C51" s="244">
        <v>500000</v>
      </c>
      <c r="D51" s="246">
        <v>422050.7</v>
      </c>
      <c r="E51" s="245">
        <f t="shared" si="2"/>
        <v>84.410139999999998</v>
      </c>
      <c r="F51" s="82">
        <v>101217</v>
      </c>
      <c r="G51" s="118" t="s">
        <v>33</v>
      </c>
      <c r="H51" s="192"/>
      <c r="I51" s="129"/>
      <c r="J51" s="130"/>
      <c r="K51" s="130"/>
      <c r="L51" s="130"/>
    </row>
    <row r="52" spans="1:12" s="89" customFormat="1" ht="25.5" x14ac:dyDescent="0.2">
      <c r="A52" s="247" t="s">
        <v>746</v>
      </c>
      <c r="B52" s="243">
        <v>0</v>
      </c>
      <c r="C52" s="244">
        <v>700000</v>
      </c>
      <c r="D52" s="246">
        <v>400945.6</v>
      </c>
      <c r="E52" s="245">
        <f t="shared" si="2"/>
        <v>57.277942857142847</v>
      </c>
      <c r="F52" s="82">
        <v>101218</v>
      </c>
      <c r="G52" s="118" t="s">
        <v>33</v>
      </c>
      <c r="H52" s="192"/>
      <c r="I52" s="129"/>
      <c r="J52" s="130"/>
      <c r="K52" s="130"/>
      <c r="L52" s="130"/>
    </row>
    <row r="53" spans="1:12" s="89" customFormat="1" ht="25.5" x14ac:dyDescent="0.2">
      <c r="A53" s="247" t="s">
        <v>263</v>
      </c>
      <c r="B53" s="243">
        <v>0</v>
      </c>
      <c r="C53" s="244">
        <v>455000</v>
      </c>
      <c r="D53" s="246">
        <v>363000</v>
      </c>
      <c r="E53" s="245">
        <f t="shared" si="2"/>
        <v>79.780219780219781</v>
      </c>
      <c r="F53" s="82">
        <v>101219</v>
      </c>
      <c r="G53" s="118" t="s">
        <v>33</v>
      </c>
      <c r="H53" s="192"/>
      <c r="I53" s="129"/>
      <c r="J53" s="130"/>
      <c r="K53" s="130"/>
      <c r="L53" s="130"/>
    </row>
    <row r="54" spans="1:12" s="89" customFormat="1" ht="25.5" x14ac:dyDescent="0.2">
      <c r="A54" s="247" t="s">
        <v>264</v>
      </c>
      <c r="B54" s="243">
        <v>0</v>
      </c>
      <c r="C54" s="244">
        <v>166000</v>
      </c>
      <c r="D54" s="246">
        <v>1000</v>
      </c>
      <c r="E54" s="245">
        <f t="shared" si="2"/>
        <v>0.60240963855421692</v>
      </c>
      <c r="F54" s="82">
        <v>101220</v>
      </c>
      <c r="G54" s="118" t="s">
        <v>33</v>
      </c>
      <c r="H54" s="192"/>
      <c r="I54" s="129"/>
      <c r="J54" s="130"/>
      <c r="K54" s="130"/>
      <c r="L54" s="130"/>
    </row>
    <row r="55" spans="1:12" s="89" customFormat="1" x14ac:dyDescent="0.2">
      <c r="A55" s="247" t="s">
        <v>265</v>
      </c>
      <c r="B55" s="243">
        <v>0</v>
      </c>
      <c r="C55" s="244">
        <v>162140</v>
      </c>
      <c r="D55" s="246">
        <v>99220</v>
      </c>
      <c r="E55" s="245">
        <f t="shared" si="2"/>
        <v>61.194029850746269</v>
      </c>
      <c r="F55" s="82">
        <v>101221</v>
      </c>
      <c r="G55" s="118" t="s">
        <v>33</v>
      </c>
      <c r="H55" s="192"/>
      <c r="I55" s="129"/>
      <c r="J55" s="130"/>
      <c r="K55" s="130"/>
      <c r="L55" s="130"/>
    </row>
    <row r="56" spans="1:12" s="89" customFormat="1" x14ac:dyDescent="0.2">
      <c r="A56" s="247" t="s">
        <v>266</v>
      </c>
      <c r="B56" s="243">
        <v>0</v>
      </c>
      <c r="C56" s="244">
        <v>450000</v>
      </c>
      <c r="D56" s="246">
        <v>188574.2</v>
      </c>
      <c r="E56" s="245">
        <f t="shared" si="2"/>
        <v>41.90537777777778</v>
      </c>
      <c r="F56" s="82">
        <v>101222</v>
      </c>
      <c r="G56" s="118" t="s">
        <v>33</v>
      </c>
      <c r="H56" s="192"/>
      <c r="I56" s="129"/>
      <c r="J56" s="130"/>
      <c r="K56" s="130"/>
      <c r="L56" s="130"/>
    </row>
    <row r="57" spans="1:12" s="89" customFormat="1" x14ac:dyDescent="0.2">
      <c r="A57" s="247" t="s">
        <v>267</v>
      </c>
      <c r="B57" s="243">
        <v>0</v>
      </c>
      <c r="C57" s="244">
        <v>110000</v>
      </c>
      <c r="D57" s="246">
        <v>107387.5</v>
      </c>
      <c r="E57" s="245">
        <f t="shared" si="2"/>
        <v>97.625</v>
      </c>
      <c r="F57" s="82">
        <v>101223</v>
      </c>
      <c r="G57" s="118" t="s">
        <v>33</v>
      </c>
      <c r="H57" s="192"/>
      <c r="I57" s="129"/>
      <c r="J57" s="130"/>
      <c r="K57" s="130"/>
      <c r="L57" s="130"/>
    </row>
    <row r="58" spans="1:12" s="89" customFormat="1" x14ac:dyDescent="0.2">
      <c r="A58" s="247" t="s">
        <v>268</v>
      </c>
      <c r="B58" s="243">
        <v>0</v>
      </c>
      <c r="C58" s="244">
        <v>564000</v>
      </c>
      <c r="D58" s="246">
        <v>83551.7</v>
      </c>
      <c r="E58" s="245">
        <f t="shared" si="2"/>
        <v>14.814131205673759</v>
      </c>
      <c r="F58" s="82">
        <v>101224</v>
      </c>
      <c r="G58" s="118" t="s">
        <v>33</v>
      </c>
      <c r="H58" s="192"/>
      <c r="I58" s="129"/>
      <c r="J58" s="130"/>
      <c r="K58" s="130"/>
      <c r="L58" s="130"/>
    </row>
    <row r="59" spans="1:12" s="89" customFormat="1" x14ac:dyDescent="0.2">
      <c r="A59" s="247" t="s">
        <v>747</v>
      </c>
      <c r="B59" s="243">
        <v>0</v>
      </c>
      <c r="C59" s="244">
        <v>500000</v>
      </c>
      <c r="D59" s="246">
        <v>240269.7</v>
      </c>
      <c r="E59" s="245">
        <f t="shared" si="2"/>
        <v>48.053939999999997</v>
      </c>
      <c r="F59" s="82">
        <v>101225</v>
      </c>
      <c r="G59" s="118" t="s">
        <v>33</v>
      </c>
      <c r="H59" s="192"/>
      <c r="I59" s="129"/>
      <c r="J59" s="130"/>
      <c r="K59" s="130"/>
      <c r="L59" s="130"/>
    </row>
    <row r="60" spans="1:12" s="89" customFormat="1" x14ac:dyDescent="0.2">
      <c r="A60" s="247" t="s">
        <v>269</v>
      </c>
      <c r="B60" s="243">
        <v>0</v>
      </c>
      <c r="C60" s="244">
        <v>200000</v>
      </c>
      <c r="D60" s="246">
        <v>121000</v>
      </c>
      <c r="E60" s="245">
        <f t="shared" si="2"/>
        <v>60.5</v>
      </c>
      <c r="F60" s="82">
        <v>101226</v>
      </c>
      <c r="G60" s="118" t="s">
        <v>33</v>
      </c>
      <c r="H60" s="192"/>
      <c r="I60" s="129"/>
      <c r="J60" s="130"/>
      <c r="K60" s="130"/>
      <c r="L60" s="130"/>
    </row>
    <row r="61" spans="1:12" s="89" customFormat="1" ht="25.5" x14ac:dyDescent="0.2">
      <c r="A61" s="247" t="s">
        <v>270</v>
      </c>
      <c r="B61" s="243">
        <v>0</v>
      </c>
      <c r="C61" s="244">
        <v>130000</v>
      </c>
      <c r="D61" s="246">
        <v>109505</v>
      </c>
      <c r="E61" s="245">
        <f t="shared" si="2"/>
        <v>84.234615384615381</v>
      </c>
      <c r="F61" s="82">
        <v>101227</v>
      </c>
      <c r="G61" s="118" t="s">
        <v>33</v>
      </c>
      <c r="H61" s="192"/>
      <c r="I61" s="129"/>
      <c r="J61" s="130"/>
      <c r="K61" s="130"/>
      <c r="L61" s="130"/>
    </row>
    <row r="62" spans="1:12" s="89" customFormat="1" x14ac:dyDescent="0.2">
      <c r="A62" s="247" t="s">
        <v>271</v>
      </c>
      <c r="B62" s="243">
        <v>0</v>
      </c>
      <c r="C62" s="244">
        <v>7432597.25</v>
      </c>
      <c r="D62" s="246">
        <v>7427757.25</v>
      </c>
      <c r="E62" s="245">
        <f t="shared" si="2"/>
        <v>99.934881444033579</v>
      </c>
      <c r="F62" s="82">
        <v>101228</v>
      </c>
      <c r="G62" s="118" t="s">
        <v>33</v>
      </c>
      <c r="H62" s="192"/>
      <c r="I62" s="129"/>
      <c r="J62" s="130"/>
      <c r="K62" s="130"/>
      <c r="L62" s="130"/>
    </row>
    <row r="63" spans="1:12" s="89" customFormat="1" x14ac:dyDescent="0.2">
      <c r="A63" s="247" t="s">
        <v>272</v>
      </c>
      <c r="B63" s="243">
        <v>0</v>
      </c>
      <c r="C63" s="244">
        <v>4460000</v>
      </c>
      <c r="D63" s="246">
        <v>4435660.4800000004</v>
      </c>
      <c r="E63" s="245">
        <f t="shared" si="2"/>
        <v>99.454270852017942</v>
      </c>
      <c r="F63" s="82">
        <v>101229</v>
      </c>
      <c r="G63" s="118" t="s">
        <v>33</v>
      </c>
      <c r="H63" s="192"/>
      <c r="I63" s="129"/>
      <c r="J63" s="130"/>
      <c r="K63" s="130"/>
      <c r="L63" s="130"/>
    </row>
    <row r="64" spans="1:12" s="89" customFormat="1" x14ac:dyDescent="0.2">
      <c r="A64" s="247" t="s">
        <v>273</v>
      </c>
      <c r="B64" s="243">
        <v>0</v>
      </c>
      <c r="C64" s="244">
        <v>6677907</v>
      </c>
      <c r="D64" s="246">
        <v>6666226.9400000004</v>
      </c>
      <c r="E64" s="245">
        <f t="shared" si="2"/>
        <v>99.825094000260862</v>
      </c>
      <c r="F64" s="82">
        <v>101235</v>
      </c>
      <c r="G64" s="118" t="s">
        <v>33</v>
      </c>
      <c r="H64" s="192"/>
      <c r="I64" s="129"/>
      <c r="J64" s="130"/>
      <c r="K64" s="130"/>
      <c r="L64" s="130"/>
    </row>
    <row r="65" spans="1:12" s="89" customFormat="1" ht="26.25" thickBot="1" x14ac:dyDescent="0.25">
      <c r="A65" s="248" t="s">
        <v>274</v>
      </c>
      <c r="B65" s="511">
        <v>0</v>
      </c>
      <c r="C65" s="249">
        <v>1789500</v>
      </c>
      <c r="D65" s="250">
        <v>1789491</v>
      </c>
      <c r="E65" s="251">
        <f t="shared" si="2"/>
        <v>99.999497066219618</v>
      </c>
      <c r="F65" s="82">
        <v>101248</v>
      </c>
      <c r="G65" s="118" t="s">
        <v>33</v>
      </c>
      <c r="H65" s="192"/>
      <c r="I65" s="129"/>
      <c r="J65" s="130"/>
      <c r="K65" s="130"/>
      <c r="L65" s="130"/>
    </row>
    <row r="66" spans="1:12" s="50" customFormat="1" ht="13.5" thickTop="1" x14ac:dyDescent="0.2">
      <c r="A66" s="181"/>
      <c r="B66" s="116"/>
      <c r="C66" s="144"/>
      <c r="D66" s="144"/>
      <c r="E66" s="53"/>
      <c r="F66" s="82"/>
      <c r="G66" s="154"/>
      <c r="H66" s="193"/>
    </row>
    <row r="67" spans="1:12" ht="15.75" thickBot="1" x14ac:dyDescent="0.25">
      <c r="A67" s="187" t="s">
        <v>29</v>
      </c>
      <c r="B67" s="581"/>
      <c r="C67" s="9"/>
      <c r="D67" s="10"/>
      <c r="E67" s="188" t="s">
        <v>18</v>
      </c>
    </row>
    <row r="68" spans="1:12" ht="14.25" thickTop="1" thickBot="1" x14ac:dyDescent="0.25">
      <c r="A68" s="41" t="s">
        <v>5</v>
      </c>
      <c r="B68" s="42" t="s">
        <v>0</v>
      </c>
      <c r="C68" s="43" t="s">
        <v>1</v>
      </c>
      <c r="D68" s="44" t="s">
        <v>4</v>
      </c>
      <c r="E68" s="45" t="s">
        <v>6</v>
      </c>
    </row>
    <row r="69" spans="1:12" ht="15.75" thickTop="1" x14ac:dyDescent="0.2">
      <c r="A69" s="46" t="s">
        <v>7</v>
      </c>
      <c r="B69" s="47">
        <f>SUM(B70:B165)</f>
        <v>0</v>
      </c>
      <c r="C69" s="47">
        <f t="shared" ref="C69:D69" si="3">SUM(C70:C165)</f>
        <v>40488794.170000002</v>
      </c>
      <c r="D69" s="47">
        <f t="shared" si="3"/>
        <v>40385754.170000002</v>
      </c>
      <c r="E69" s="59">
        <f>D69/C69*100</f>
        <v>99.745509832751836</v>
      </c>
      <c r="F69" s="37"/>
    </row>
    <row r="70" spans="1:12" x14ac:dyDescent="0.2">
      <c r="A70" s="616" t="s">
        <v>469</v>
      </c>
      <c r="B70" s="613">
        <v>0</v>
      </c>
      <c r="C70" s="617">
        <v>96512.02</v>
      </c>
      <c r="D70" s="617">
        <v>96512.02</v>
      </c>
      <c r="E70" s="615">
        <f t="shared" ref="E70" si="4">D70/C70*100</f>
        <v>100</v>
      </c>
      <c r="F70" s="95">
        <v>1001</v>
      </c>
      <c r="G70" s="123" t="s">
        <v>545</v>
      </c>
    </row>
    <row r="71" spans="1:12" ht="25.5" x14ac:dyDescent="0.2">
      <c r="A71" s="247" t="s">
        <v>470</v>
      </c>
      <c r="B71" s="243">
        <v>0</v>
      </c>
      <c r="C71" s="243">
        <v>470551</v>
      </c>
      <c r="D71" s="243">
        <v>470551</v>
      </c>
      <c r="E71" s="245">
        <f t="shared" ref="E71:E165" si="5">D71/C71*100</f>
        <v>100</v>
      </c>
      <c r="F71" s="95">
        <v>1014</v>
      </c>
      <c r="G71" s="123" t="s">
        <v>545</v>
      </c>
    </row>
    <row r="72" spans="1:12" x14ac:dyDescent="0.2">
      <c r="A72" s="247" t="s">
        <v>471</v>
      </c>
      <c r="B72" s="243">
        <v>0</v>
      </c>
      <c r="C72" s="243">
        <v>80000</v>
      </c>
      <c r="D72" s="243">
        <v>80000</v>
      </c>
      <c r="E72" s="245">
        <f t="shared" si="5"/>
        <v>100</v>
      </c>
      <c r="F72" s="95">
        <v>1033</v>
      </c>
      <c r="G72" s="123" t="s">
        <v>545</v>
      </c>
    </row>
    <row r="73" spans="1:12" x14ac:dyDescent="0.2">
      <c r="A73" s="247" t="s">
        <v>472</v>
      </c>
      <c r="B73" s="243">
        <v>0</v>
      </c>
      <c r="C73" s="243">
        <v>113427</v>
      </c>
      <c r="D73" s="243">
        <v>113427</v>
      </c>
      <c r="E73" s="245">
        <f t="shared" si="5"/>
        <v>100</v>
      </c>
      <c r="F73" s="95">
        <v>1038</v>
      </c>
      <c r="G73" s="123" t="s">
        <v>545</v>
      </c>
    </row>
    <row r="74" spans="1:12" ht="25.5" x14ac:dyDescent="0.2">
      <c r="A74" s="247" t="s">
        <v>473</v>
      </c>
      <c r="B74" s="243">
        <v>0</v>
      </c>
      <c r="C74" s="243">
        <v>2000000</v>
      </c>
      <c r="D74" s="243">
        <v>2000000</v>
      </c>
      <c r="E74" s="245">
        <f t="shared" si="5"/>
        <v>100</v>
      </c>
      <c r="F74" s="95">
        <v>1041</v>
      </c>
      <c r="G74" s="123" t="s">
        <v>545</v>
      </c>
    </row>
    <row r="75" spans="1:12" x14ac:dyDescent="0.2">
      <c r="A75" s="247" t="s">
        <v>474</v>
      </c>
      <c r="B75" s="243">
        <v>0</v>
      </c>
      <c r="C75" s="243">
        <v>399300</v>
      </c>
      <c r="D75" s="243">
        <v>399300</v>
      </c>
      <c r="E75" s="245">
        <f t="shared" si="5"/>
        <v>100</v>
      </c>
      <c r="F75" s="95">
        <v>1103</v>
      </c>
      <c r="G75" s="123" t="s">
        <v>545</v>
      </c>
    </row>
    <row r="76" spans="1:12" x14ac:dyDescent="0.2">
      <c r="A76" s="247" t="s">
        <v>475</v>
      </c>
      <c r="B76" s="243">
        <v>0</v>
      </c>
      <c r="C76" s="243">
        <v>650000</v>
      </c>
      <c r="D76" s="243">
        <v>650000</v>
      </c>
      <c r="E76" s="245">
        <f t="shared" si="5"/>
        <v>100</v>
      </c>
      <c r="F76" s="95">
        <v>1103</v>
      </c>
      <c r="G76" s="123" t="s">
        <v>545</v>
      </c>
    </row>
    <row r="77" spans="1:12" x14ac:dyDescent="0.2">
      <c r="A77" s="247" t="s">
        <v>476</v>
      </c>
      <c r="B77" s="243">
        <v>0</v>
      </c>
      <c r="C77" s="243">
        <v>1500000</v>
      </c>
      <c r="D77" s="243">
        <v>1500000</v>
      </c>
      <c r="E77" s="245">
        <f t="shared" si="5"/>
        <v>100</v>
      </c>
      <c r="F77" s="95">
        <v>1103</v>
      </c>
      <c r="G77" s="123" t="s">
        <v>545</v>
      </c>
    </row>
    <row r="78" spans="1:12" x14ac:dyDescent="0.2">
      <c r="A78" s="247" t="s">
        <v>477</v>
      </c>
      <c r="B78" s="243">
        <v>0</v>
      </c>
      <c r="C78" s="243">
        <v>2387859</v>
      </c>
      <c r="D78" s="243">
        <v>2387859</v>
      </c>
      <c r="E78" s="245">
        <f t="shared" si="5"/>
        <v>100</v>
      </c>
      <c r="F78" s="95">
        <v>1103</v>
      </c>
      <c r="G78" s="123" t="s">
        <v>545</v>
      </c>
    </row>
    <row r="79" spans="1:12" x14ac:dyDescent="0.2">
      <c r="A79" s="247" t="s">
        <v>478</v>
      </c>
      <c r="B79" s="243">
        <v>0</v>
      </c>
      <c r="C79" s="243">
        <v>377118</v>
      </c>
      <c r="D79" s="243">
        <v>377118</v>
      </c>
      <c r="E79" s="245">
        <f t="shared" si="5"/>
        <v>100</v>
      </c>
      <c r="F79" s="95">
        <v>1104</v>
      </c>
      <c r="G79" s="123" t="s">
        <v>545</v>
      </c>
    </row>
    <row r="80" spans="1:12" x14ac:dyDescent="0.2">
      <c r="A80" s="247" t="s">
        <v>479</v>
      </c>
      <c r="B80" s="243">
        <v>0</v>
      </c>
      <c r="C80" s="243">
        <v>300000</v>
      </c>
      <c r="D80" s="243">
        <v>300000</v>
      </c>
      <c r="E80" s="245">
        <f t="shared" si="5"/>
        <v>100</v>
      </c>
      <c r="F80" s="95">
        <v>1113</v>
      </c>
      <c r="G80" s="123" t="s">
        <v>545</v>
      </c>
    </row>
    <row r="81" spans="1:7" x14ac:dyDescent="0.2">
      <c r="A81" s="247" t="s">
        <v>480</v>
      </c>
      <c r="B81" s="243">
        <v>0</v>
      </c>
      <c r="C81" s="243">
        <v>226747</v>
      </c>
      <c r="D81" s="243">
        <v>226747</v>
      </c>
      <c r="E81" s="245">
        <f t="shared" si="5"/>
        <v>100</v>
      </c>
      <c r="F81" s="95">
        <v>1113</v>
      </c>
      <c r="G81" s="123" t="s">
        <v>545</v>
      </c>
    </row>
    <row r="82" spans="1:7" ht="25.5" x14ac:dyDescent="0.2">
      <c r="A82" s="247" t="s">
        <v>481</v>
      </c>
      <c r="B82" s="243">
        <v>0</v>
      </c>
      <c r="C82" s="243">
        <v>149457</v>
      </c>
      <c r="D82" s="243">
        <v>149457</v>
      </c>
      <c r="E82" s="245">
        <f t="shared" si="5"/>
        <v>100</v>
      </c>
      <c r="F82" s="95">
        <v>1126</v>
      </c>
      <c r="G82" s="123" t="s">
        <v>545</v>
      </c>
    </row>
    <row r="83" spans="1:7" x14ac:dyDescent="0.2">
      <c r="A83" s="247" t="s">
        <v>482</v>
      </c>
      <c r="B83" s="243">
        <v>0</v>
      </c>
      <c r="C83" s="243">
        <v>598973.6</v>
      </c>
      <c r="D83" s="243">
        <v>598973.6</v>
      </c>
      <c r="E83" s="245">
        <f t="shared" si="5"/>
        <v>100</v>
      </c>
      <c r="F83" s="95">
        <v>1129</v>
      </c>
      <c r="G83" s="123" t="s">
        <v>545</v>
      </c>
    </row>
    <row r="84" spans="1:7" ht="25.5" x14ac:dyDescent="0.2">
      <c r="A84" s="247" t="s">
        <v>483</v>
      </c>
      <c r="B84" s="243">
        <v>0</v>
      </c>
      <c r="C84" s="243">
        <v>1792321</v>
      </c>
      <c r="D84" s="243">
        <v>1792321</v>
      </c>
      <c r="E84" s="245">
        <f t="shared" si="5"/>
        <v>100</v>
      </c>
      <c r="F84" s="95">
        <v>1132</v>
      </c>
      <c r="G84" s="123" t="s">
        <v>545</v>
      </c>
    </row>
    <row r="85" spans="1:7" x14ac:dyDescent="0.2">
      <c r="A85" s="247" t="s">
        <v>484</v>
      </c>
      <c r="B85" s="243">
        <v>0</v>
      </c>
      <c r="C85" s="243">
        <v>500000</v>
      </c>
      <c r="D85" s="243">
        <v>500000</v>
      </c>
      <c r="E85" s="245">
        <f t="shared" si="5"/>
        <v>100</v>
      </c>
      <c r="F85" s="95">
        <v>1132</v>
      </c>
      <c r="G85" s="123" t="s">
        <v>545</v>
      </c>
    </row>
    <row r="86" spans="1:7" ht="25.5" x14ac:dyDescent="0.2">
      <c r="A86" s="247" t="s">
        <v>485</v>
      </c>
      <c r="B86" s="243">
        <v>0</v>
      </c>
      <c r="C86" s="243">
        <v>993410</v>
      </c>
      <c r="D86" s="243">
        <v>993410</v>
      </c>
      <c r="E86" s="245">
        <f t="shared" si="5"/>
        <v>100</v>
      </c>
      <c r="F86" s="95">
        <v>1135</v>
      </c>
      <c r="G86" s="123" t="s">
        <v>545</v>
      </c>
    </row>
    <row r="87" spans="1:7" ht="25.5" x14ac:dyDescent="0.2">
      <c r="A87" s="247" t="s">
        <v>486</v>
      </c>
      <c r="B87" s="243">
        <v>0</v>
      </c>
      <c r="C87" s="243">
        <v>390000</v>
      </c>
      <c r="D87" s="243">
        <v>390000</v>
      </c>
      <c r="E87" s="245">
        <f t="shared" si="5"/>
        <v>100</v>
      </c>
      <c r="F87" s="95">
        <v>1136</v>
      </c>
      <c r="G87" s="123" t="s">
        <v>545</v>
      </c>
    </row>
    <row r="88" spans="1:7" ht="25.5" x14ac:dyDescent="0.2">
      <c r="A88" s="247" t="s">
        <v>487</v>
      </c>
      <c r="B88" s="243">
        <v>0</v>
      </c>
      <c r="C88" s="243">
        <v>160000</v>
      </c>
      <c r="D88" s="243">
        <v>160000</v>
      </c>
      <c r="E88" s="245">
        <f t="shared" si="5"/>
        <v>100</v>
      </c>
      <c r="F88" s="95">
        <v>1136</v>
      </c>
      <c r="G88" s="123" t="s">
        <v>545</v>
      </c>
    </row>
    <row r="89" spans="1:7" ht="25.5" x14ac:dyDescent="0.2">
      <c r="A89" s="247" t="s">
        <v>488</v>
      </c>
      <c r="B89" s="243">
        <v>0</v>
      </c>
      <c r="C89" s="243">
        <v>58456.04</v>
      </c>
      <c r="D89" s="243">
        <v>58456.04</v>
      </c>
      <c r="E89" s="245">
        <f t="shared" si="5"/>
        <v>100</v>
      </c>
      <c r="F89" s="95">
        <v>1138</v>
      </c>
      <c r="G89" s="123" t="s">
        <v>545</v>
      </c>
    </row>
    <row r="90" spans="1:7" ht="25.5" x14ac:dyDescent="0.2">
      <c r="A90" s="247" t="s">
        <v>489</v>
      </c>
      <c r="B90" s="243">
        <v>0</v>
      </c>
      <c r="C90" s="243">
        <v>350000</v>
      </c>
      <c r="D90" s="243">
        <v>350000</v>
      </c>
      <c r="E90" s="245">
        <f t="shared" si="5"/>
        <v>100</v>
      </c>
      <c r="F90" s="95">
        <v>1138</v>
      </c>
      <c r="G90" s="123" t="s">
        <v>545</v>
      </c>
    </row>
    <row r="91" spans="1:7" x14ac:dyDescent="0.2">
      <c r="A91" s="247" t="s">
        <v>490</v>
      </c>
      <c r="B91" s="243">
        <v>0</v>
      </c>
      <c r="C91" s="243">
        <v>240000</v>
      </c>
      <c r="D91" s="243">
        <v>240000</v>
      </c>
      <c r="E91" s="245">
        <f t="shared" si="5"/>
        <v>100</v>
      </c>
      <c r="F91" s="95">
        <v>1138</v>
      </c>
      <c r="G91" s="123" t="s">
        <v>545</v>
      </c>
    </row>
    <row r="92" spans="1:7" ht="25.5" x14ac:dyDescent="0.2">
      <c r="A92" s="247" t="s">
        <v>491</v>
      </c>
      <c r="B92" s="243">
        <v>0</v>
      </c>
      <c r="C92" s="243">
        <v>389942</v>
      </c>
      <c r="D92" s="243">
        <v>389942</v>
      </c>
      <c r="E92" s="245">
        <f t="shared" si="5"/>
        <v>100</v>
      </c>
      <c r="F92" s="95">
        <v>1140</v>
      </c>
      <c r="G92" s="123" t="s">
        <v>545</v>
      </c>
    </row>
    <row r="93" spans="1:7" ht="38.25" x14ac:dyDescent="0.2">
      <c r="A93" s="247" t="s">
        <v>492</v>
      </c>
      <c r="B93" s="243">
        <v>0</v>
      </c>
      <c r="C93" s="243">
        <v>74760.59</v>
      </c>
      <c r="D93" s="243">
        <v>74760.59</v>
      </c>
      <c r="E93" s="245">
        <f t="shared" si="5"/>
        <v>100</v>
      </c>
      <c r="F93" s="95">
        <v>1160</v>
      </c>
      <c r="G93" s="123" t="s">
        <v>545</v>
      </c>
    </row>
    <row r="94" spans="1:7" ht="38.25" x14ac:dyDescent="0.2">
      <c r="A94" s="247" t="s">
        <v>493</v>
      </c>
      <c r="B94" s="243">
        <v>0</v>
      </c>
      <c r="C94" s="243">
        <v>119468.14</v>
      </c>
      <c r="D94" s="243">
        <v>119468.14</v>
      </c>
      <c r="E94" s="245">
        <f t="shared" si="5"/>
        <v>100</v>
      </c>
      <c r="F94" s="95">
        <v>1160</v>
      </c>
      <c r="G94" s="123" t="s">
        <v>545</v>
      </c>
    </row>
    <row r="95" spans="1:7" ht="38.25" x14ac:dyDescent="0.2">
      <c r="A95" s="247" t="s">
        <v>494</v>
      </c>
      <c r="B95" s="243">
        <v>0</v>
      </c>
      <c r="C95" s="243">
        <v>120000</v>
      </c>
      <c r="D95" s="243">
        <v>120000</v>
      </c>
      <c r="E95" s="245">
        <f t="shared" si="5"/>
        <v>100</v>
      </c>
      <c r="F95" s="95">
        <v>1160</v>
      </c>
      <c r="G95" s="123" t="s">
        <v>545</v>
      </c>
    </row>
    <row r="96" spans="1:7" x14ac:dyDescent="0.2">
      <c r="A96" s="247" t="s">
        <v>495</v>
      </c>
      <c r="B96" s="243">
        <v>0</v>
      </c>
      <c r="C96" s="243">
        <v>436658</v>
      </c>
      <c r="D96" s="243">
        <v>436658</v>
      </c>
      <c r="E96" s="245">
        <f t="shared" si="5"/>
        <v>100</v>
      </c>
      <c r="F96" s="95">
        <v>1173</v>
      </c>
      <c r="G96" s="123" t="s">
        <v>545</v>
      </c>
    </row>
    <row r="97" spans="1:7" x14ac:dyDescent="0.2">
      <c r="A97" s="247" t="s">
        <v>496</v>
      </c>
      <c r="B97" s="243">
        <v>0</v>
      </c>
      <c r="C97" s="243">
        <v>435045</v>
      </c>
      <c r="D97" s="243">
        <v>435045</v>
      </c>
      <c r="E97" s="245">
        <f t="shared" si="5"/>
        <v>100</v>
      </c>
      <c r="F97" s="95">
        <v>1212</v>
      </c>
      <c r="G97" s="123" t="s">
        <v>545</v>
      </c>
    </row>
    <row r="98" spans="1:7" ht="25.5" x14ac:dyDescent="0.2">
      <c r="A98" s="247" t="s">
        <v>497</v>
      </c>
      <c r="B98" s="243">
        <v>0</v>
      </c>
      <c r="C98" s="243">
        <v>218405</v>
      </c>
      <c r="D98" s="243">
        <v>218405</v>
      </c>
      <c r="E98" s="245">
        <f t="shared" si="5"/>
        <v>100</v>
      </c>
      <c r="F98" s="95">
        <v>1223</v>
      </c>
      <c r="G98" s="123" t="s">
        <v>545</v>
      </c>
    </row>
    <row r="99" spans="1:7" ht="25.5" x14ac:dyDescent="0.2">
      <c r="A99" s="247" t="s">
        <v>498</v>
      </c>
      <c r="B99" s="243">
        <v>0</v>
      </c>
      <c r="C99" s="243">
        <v>247653.7</v>
      </c>
      <c r="D99" s="243">
        <v>247653.7</v>
      </c>
      <c r="E99" s="245">
        <f t="shared" si="5"/>
        <v>100</v>
      </c>
      <c r="F99" s="95">
        <v>1400</v>
      </c>
      <c r="G99" s="123" t="s">
        <v>545</v>
      </c>
    </row>
    <row r="100" spans="1:7" ht="25.5" x14ac:dyDescent="0.2">
      <c r="A100" s="247" t="s">
        <v>499</v>
      </c>
      <c r="B100" s="243">
        <v>0</v>
      </c>
      <c r="C100" s="243">
        <v>200000</v>
      </c>
      <c r="D100" s="243">
        <v>200000</v>
      </c>
      <c r="E100" s="245">
        <f t="shared" si="5"/>
        <v>100</v>
      </c>
      <c r="F100" s="95">
        <v>1400</v>
      </c>
      <c r="G100" s="123" t="s">
        <v>545</v>
      </c>
    </row>
    <row r="101" spans="1:7" x14ac:dyDescent="0.2">
      <c r="A101" s="247" t="s">
        <v>500</v>
      </c>
      <c r="B101" s="243">
        <v>0</v>
      </c>
      <c r="C101" s="243">
        <v>300000</v>
      </c>
      <c r="D101" s="243">
        <v>300000</v>
      </c>
      <c r="E101" s="245">
        <f t="shared" si="5"/>
        <v>100</v>
      </c>
      <c r="F101" s="95">
        <v>1402</v>
      </c>
      <c r="G101" s="123" t="s">
        <v>545</v>
      </c>
    </row>
    <row r="102" spans="1:7" x14ac:dyDescent="0.2">
      <c r="A102" s="247" t="s">
        <v>547</v>
      </c>
      <c r="B102" s="243">
        <v>0</v>
      </c>
      <c r="C102" s="243">
        <v>240000</v>
      </c>
      <c r="D102" s="243">
        <v>240000</v>
      </c>
      <c r="E102" s="245">
        <f t="shared" si="5"/>
        <v>100</v>
      </c>
      <c r="F102" s="95">
        <v>1033</v>
      </c>
      <c r="G102" s="123" t="s">
        <v>551</v>
      </c>
    </row>
    <row r="103" spans="1:7" x14ac:dyDescent="0.2">
      <c r="A103" s="247" t="s">
        <v>548</v>
      </c>
      <c r="B103" s="243">
        <v>0</v>
      </c>
      <c r="C103" s="243">
        <v>360000</v>
      </c>
      <c r="D103" s="243">
        <v>360000</v>
      </c>
      <c r="E103" s="245">
        <f t="shared" si="5"/>
        <v>100</v>
      </c>
      <c r="F103" s="95">
        <v>1033</v>
      </c>
      <c r="G103" s="123" t="s">
        <v>551</v>
      </c>
    </row>
    <row r="104" spans="1:7" x14ac:dyDescent="0.2">
      <c r="A104" s="247" t="s">
        <v>549</v>
      </c>
      <c r="B104" s="243">
        <v>0</v>
      </c>
      <c r="C104" s="243">
        <v>210000</v>
      </c>
      <c r="D104" s="243">
        <v>210000</v>
      </c>
      <c r="E104" s="245">
        <f t="shared" si="5"/>
        <v>100</v>
      </c>
      <c r="F104" s="95">
        <v>1033</v>
      </c>
      <c r="G104" s="123" t="s">
        <v>551</v>
      </c>
    </row>
    <row r="105" spans="1:7" x14ac:dyDescent="0.2">
      <c r="A105" s="247" t="s">
        <v>550</v>
      </c>
      <c r="B105" s="243">
        <v>0</v>
      </c>
      <c r="C105" s="243">
        <v>350000</v>
      </c>
      <c r="D105" s="243">
        <v>350000</v>
      </c>
      <c r="E105" s="245">
        <f t="shared" si="5"/>
        <v>100</v>
      </c>
      <c r="F105" s="95">
        <v>1034</v>
      </c>
      <c r="G105" s="123" t="s">
        <v>551</v>
      </c>
    </row>
    <row r="106" spans="1:7" x14ac:dyDescent="0.2">
      <c r="A106" s="247" t="s">
        <v>552</v>
      </c>
      <c r="B106" s="243">
        <v>0</v>
      </c>
      <c r="C106" s="243">
        <v>366532.1</v>
      </c>
      <c r="D106" s="243">
        <v>366532.1</v>
      </c>
      <c r="E106" s="245">
        <f t="shared" si="5"/>
        <v>100</v>
      </c>
      <c r="F106" s="95">
        <v>1036</v>
      </c>
      <c r="G106" s="123" t="s">
        <v>551</v>
      </c>
    </row>
    <row r="107" spans="1:7" ht="25.5" x14ac:dyDescent="0.2">
      <c r="A107" s="247" t="s">
        <v>553</v>
      </c>
      <c r="B107" s="243">
        <v>0</v>
      </c>
      <c r="C107" s="243">
        <v>103524</v>
      </c>
      <c r="D107" s="243">
        <v>103524</v>
      </c>
      <c r="E107" s="245">
        <f t="shared" si="5"/>
        <v>100</v>
      </c>
      <c r="F107" s="95">
        <v>1040</v>
      </c>
      <c r="G107" s="123" t="s">
        <v>551</v>
      </c>
    </row>
    <row r="108" spans="1:7" ht="25.5" x14ac:dyDescent="0.2">
      <c r="A108" s="247" t="s">
        <v>554</v>
      </c>
      <c r="B108" s="243">
        <v>0</v>
      </c>
      <c r="C108" s="243">
        <v>200000</v>
      </c>
      <c r="D108" s="243">
        <v>200000</v>
      </c>
      <c r="E108" s="245">
        <f t="shared" si="5"/>
        <v>100</v>
      </c>
      <c r="F108" s="95">
        <v>1041</v>
      </c>
      <c r="G108" s="123" t="s">
        <v>551</v>
      </c>
    </row>
    <row r="109" spans="1:7" ht="25.5" x14ac:dyDescent="0.2">
      <c r="A109" s="247" t="s">
        <v>555</v>
      </c>
      <c r="B109" s="243">
        <v>0</v>
      </c>
      <c r="C109" s="243">
        <v>304000</v>
      </c>
      <c r="D109" s="243">
        <v>304000</v>
      </c>
      <c r="E109" s="245">
        <f t="shared" si="5"/>
        <v>100</v>
      </c>
      <c r="F109" s="95">
        <v>1041</v>
      </c>
      <c r="G109" s="123" t="s">
        <v>551</v>
      </c>
    </row>
    <row r="110" spans="1:7" ht="25.5" x14ac:dyDescent="0.2">
      <c r="A110" s="247" t="s">
        <v>556</v>
      </c>
      <c r="B110" s="243">
        <v>0</v>
      </c>
      <c r="C110" s="243">
        <v>639000</v>
      </c>
      <c r="D110" s="243">
        <v>639000</v>
      </c>
      <c r="E110" s="245">
        <f t="shared" si="5"/>
        <v>100</v>
      </c>
      <c r="F110" s="95">
        <v>1041</v>
      </c>
      <c r="G110" s="123" t="s">
        <v>551</v>
      </c>
    </row>
    <row r="111" spans="1:7" x14ac:dyDescent="0.2">
      <c r="A111" s="247" t="s">
        <v>557</v>
      </c>
      <c r="B111" s="243">
        <v>0</v>
      </c>
      <c r="C111" s="243">
        <v>987965</v>
      </c>
      <c r="D111" s="243">
        <v>987965</v>
      </c>
      <c r="E111" s="245">
        <f t="shared" si="5"/>
        <v>100</v>
      </c>
      <c r="F111" s="95">
        <v>1101</v>
      </c>
      <c r="G111" s="123" t="s">
        <v>551</v>
      </c>
    </row>
    <row r="112" spans="1:7" ht="13.5" thickBot="1" x14ac:dyDescent="0.25">
      <c r="A112" s="248" t="s">
        <v>558</v>
      </c>
      <c r="B112" s="511">
        <v>0</v>
      </c>
      <c r="C112" s="511">
        <v>1915730</v>
      </c>
      <c r="D112" s="511">
        <v>1915730</v>
      </c>
      <c r="E112" s="251">
        <f t="shared" si="5"/>
        <v>100</v>
      </c>
      <c r="F112" s="95">
        <v>1101</v>
      </c>
      <c r="G112" s="123" t="s">
        <v>551</v>
      </c>
    </row>
    <row r="113" spans="1:7" ht="13.5" thickTop="1" x14ac:dyDescent="0.2">
      <c r="A113" s="202"/>
      <c r="B113" s="203"/>
      <c r="C113" s="203"/>
      <c r="D113" s="203"/>
      <c r="E113" s="204"/>
      <c r="F113" s="95"/>
      <c r="G113" s="123"/>
    </row>
    <row r="114" spans="1:7" ht="13.5" thickBot="1" x14ac:dyDescent="0.25">
      <c r="A114" s="181"/>
      <c r="B114" s="116"/>
      <c r="C114" s="116"/>
      <c r="D114" s="116"/>
      <c r="E114" s="188" t="s">
        <v>18</v>
      </c>
      <c r="F114" s="95"/>
      <c r="G114" s="123"/>
    </row>
    <row r="115" spans="1:7" ht="14.25" thickTop="1" thickBot="1" x14ac:dyDescent="0.25">
      <c r="A115" s="41" t="s">
        <v>5</v>
      </c>
      <c r="B115" s="42" t="s">
        <v>0</v>
      </c>
      <c r="C115" s="43" t="s">
        <v>1</v>
      </c>
      <c r="D115" s="44" t="s">
        <v>4</v>
      </c>
      <c r="E115" s="45" t="s">
        <v>6</v>
      </c>
      <c r="F115" s="95"/>
      <c r="G115" s="123"/>
    </row>
    <row r="116" spans="1:7" ht="13.5" thickTop="1" x14ac:dyDescent="0.2">
      <c r="A116" s="512" t="s">
        <v>559</v>
      </c>
      <c r="B116" s="513">
        <v>0</v>
      </c>
      <c r="C116" s="513">
        <v>800000</v>
      </c>
      <c r="D116" s="513">
        <v>696960</v>
      </c>
      <c r="E116" s="514">
        <f t="shared" si="5"/>
        <v>87.12</v>
      </c>
      <c r="F116" s="95">
        <v>1103</v>
      </c>
      <c r="G116" s="123" t="s">
        <v>551</v>
      </c>
    </row>
    <row r="117" spans="1:7" x14ac:dyDescent="0.2">
      <c r="A117" s="247" t="s">
        <v>560</v>
      </c>
      <c r="B117" s="243">
        <v>0</v>
      </c>
      <c r="C117" s="243">
        <v>210000</v>
      </c>
      <c r="D117" s="243">
        <v>210000</v>
      </c>
      <c r="E117" s="245">
        <f t="shared" si="5"/>
        <v>100</v>
      </c>
      <c r="F117" s="95">
        <v>1103</v>
      </c>
      <c r="G117" s="123" t="s">
        <v>551</v>
      </c>
    </row>
    <row r="118" spans="1:7" x14ac:dyDescent="0.2">
      <c r="A118" s="247" t="s">
        <v>561</v>
      </c>
      <c r="B118" s="243">
        <v>0</v>
      </c>
      <c r="C118" s="243">
        <v>559339</v>
      </c>
      <c r="D118" s="243">
        <v>559339</v>
      </c>
      <c r="E118" s="245">
        <f t="shared" si="5"/>
        <v>100</v>
      </c>
      <c r="F118" s="95">
        <v>1104</v>
      </c>
      <c r="G118" s="123" t="s">
        <v>551</v>
      </c>
    </row>
    <row r="119" spans="1:7" ht="25.5" x14ac:dyDescent="0.2">
      <c r="A119" s="247" t="s">
        <v>562</v>
      </c>
      <c r="B119" s="243">
        <v>0</v>
      </c>
      <c r="C119" s="243">
        <v>55000</v>
      </c>
      <c r="D119" s="243">
        <v>55000</v>
      </c>
      <c r="E119" s="245">
        <f t="shared" si="5"/>
        <v>100</v>
      </c>
      <c r="F119" s="95">
        <v>1120</v>
      </c>
      <c r="G119" s="123" t="s">
        <v>551</v>
      </c>
    </row>
    <row r="120" spans="1:7" ht="38.25" x14ac:dyDescent="0.2">
      <c r="A120" s="247" t="s">
        <v>563</v>
      </c>
      <c r="B120" s="243">
        <v>0</v>
      </c>
      <c r="C120" s="243">
        <v>140000</v>
      </c>
      <c r="D120" s="243">
        <v>140000</v>
      </c>
      <c r="E120" s="245">
        <f t="shared" si="5"/>
        <v>100</v>
      </c>
      <c r="F120" s="95">
        <v>1120</v>
      </c>
      <c r="G120" s="123" t="s">
        <v>551</v>
      </c>
    </row>
    <row r="121" spans="1:7" x14ac:dyDescent="0.2">
      <c r="A121" s="247" t="s">
        <v>564</v>
      </c>
      <c r="B121" s="243">
        <v>0</v>
      </c>
      <c r="C121" s="243">
        <v>496642</v>
      </c>
      <c r="D121" s="243">
        <v>496642</v>
      </c>
      <c r="E121" s="245">
        <f t="shared" si="5"/>
        <v>100</v>
      </c>
      <c r="F121" s="95">
        <v>1128</v>
      </c>
      <c r="G121" s="123" t="s">
        <v>551</v>
      </c>
    </row>
    <row r="122" spans="1:7" x14ac:dyDescent="0.2">
      <c r="A122" s="247" t="s">
        <v>565</v>
      </c>
      <c r="B122" s="243">
        <v>0</v>
      </c>
      <c r="C122" s="243">
        <v>397557.5</v>
      </c>
      <c r="D122" s="243">
        <v>397557.5</v>
      </c>
      <c r="E122" s="245">
        <f t="shared" si="5"/>
        <v>100</v>
      </c>
      <c r="F122" s="95">
        <v>1134</v>
      </c>
      <c r="G122" s="123" t="s">
        <v>551</v>
      </c>
    </row>
    <row r="123" spans="1:7" ht="25.5" x14ac:dyDescent="0.2">
      <c r="A123" s="247" t="s">
        <v>566</v>
      </c>
      <c r="B123" s="243">
        <v>0</v>
      </c>
      <c r="C123" s="243">
        <v>269376</v>
      </c>
      <c r="D123" s="243">
        <v>269376</v>
      </c>
      <c r="E123" s="245">
        <f t="shared" si="5"/>
        <v>100</v>
      </c>
      <c r="F123" s="95">
        <v>1134</v>
      </c>
      <c r="G123" s="123" t="s">
        <v>551</v>
      </c>
    </row>
    <row r="124" spans="1:7" x14ac:dyDescent="0.2">
      <c r="A124" s="247" t="s">
        <v>567</v>
      </c>
      <c r="B124" s="243">
        <v>0</v>
      </c>
      <c r="C124" s="243">
        <v>199999.69</v>
      </c>
      <c r="D124" s="243">
        <v>199999.69</v>
      </c>
      <c r="E124" s="245">
        <f t="shared" si="5"/>
        <v>100</v>
      </c>
      <c r="F124" s="95">
        <v>1134</v>
      </c>
      <c r="G124" s="123" t="s">
        <v>551</v>
      </c>
    </row>
    <row r="125" spans="1:7" ht="25.5" x14ac:dyDescent="0.2">
      <c r="A125" s="247" t="s">
        <v>568</v>
      </c>
      <c r="B125" s="243">
        <v>0</v>
      </c>
      <c r="C125" s="243">
        <v>1149798.49</v>
      </c>
      <c r="D125" s="243">
        <v>1149798.49</v>
      </c>
      <c r="E125" s="245">
        <f t="shared" si="5"/>
        <v>100</v>
      </c>
      <c r="F125" s="95">
        <v>1137</v>
      </c>
      <c r="G125" s="123" t="s">
        <v>551</v>
      </c>
    </row>
    <row r="126" spans="1:7" x14ac:dyDescent="0.2">
      <c r="A126" s="247" t="s">
        <v>569</v>
      </c>
      <c r="B126" s="243">
        <v>0</v>
      </c>
      <c r="C126" s="243">
        <v>451264.92</v>
      </c>
      <c r="D126" s="243">
        <v>451264.92</v>
      </c>
      <c r="E126" s="245">
        <f t="shared" si="5"/>
        <v>100</v>
      </c>
      <c r="F126" s="95">
        <v>1138</v>
      </c>
      <c r="G126" s="123" t="s">
        <v>551</v>
      </c>
    </row>
    <row r="127" spans="1:7" ht="25.5" x14ac:dyDescent="0.2">
      <c r="A127" s="247" t="s">
        <v>488</v>
      </c>
      <c r="B127" s="243">
        <v>0</v>
      </c>
      <c r="C127" s="243">
        <v>191105.06</v>
      </c>
      <c r="D127" s="243">
        <v>191105.06</v>
      </c>
      <c r="E127" s="245">
        <f t="shared" si="5"/>
        <v>100</v>
      </c>
      <c r="F127" s="95">
        <v>1138</v>
      </c>
      <c r="G127" s="123" t="s">
        <v>551</v>
      </c>
    </row>
    <row r="128" spans="1:7" ht="25.5" x14ac:dyDescent="0.2">
      <c r="A128" s="247" t="s">
        <v>570</v>
      </c>
      <c r="B128" s="243">
        <v>0</v>
      </c>
      <c r="C128" s="243">
        <v>808352.84</v>
      </c>
      <c r="D128" s="243">
        <v>808352.84</v>
      </c>
      <c r="E128" s="245">
        <f t="shared" si="5"/>
        <v>100</v>
      </c>
      <c r="F128" s="95">
        <v>1142</v>
      </c>
      <c r="G128" s="123" t="s">
        <v>551</v>
      </c>
    </row>
    <row r="129" spans="1:7" x14ac:dyDescent="0.2">
      <c r="A129" s="247" t="s">
        <v>571</v>
      </c>
      <c r="B129" s="243">
        <v>0</v>
      </c>
      <c r="C129" s="243">
        <v>310000</v>
      </c>
      <c r="D129" s="243">
        <v>310000</v>
      </c>
      <c r="E129" s="245">
        <f t="shared" si="5"/>
        <v>100</v>
      </c>
      <c r="F129" s="95">
        <v>1153</v>
      </c>
      <c r="G129" s="123" t="s">
        <v>551</v>
      </c>
    </row>
    <row r="130" spans="1:7" ht="25.5" x14ac:dyDescent="0.2">
      <c r="A130" s="247" t="s">
        <v>572</v>
      </c>
      <c r="B130" s="243">
        <v>0</v>
      </c>
      <c r="C130" s="243">
        <v>168654</v>
      </c>
      <c r="D130" s="243">
        <v>168654</v>
      </c>
      <c r="E130" s="245">
        <f t="shared" si="5"/>
        <v>100</v>
      </c>
      <c r="F130" s="95">
        <v>1160</v>
      </c>
      <c r="G130" s="123" t="s">
        <v>551</v>
      </c>
    </row>
    <row r="131" spans="1:7" ht="25.5" x14ac:dyDescent="0.2">
      <c r="A131" s="247" t="s">
        <v>573</v>
      </c>
      <c r="B131" s="243">
        <v>0</v>
      </c>
      <c r="C131" s="243">
        <v>88025.17</v>
      </c>
      <c r="D131" s="243">
        <v>88025.17</v>
      </c>
      <c r="E131" s="245">
        <f t="shared" si="5"/>
        <v>100</v>
      </c>
      <c r="F131" s="95">
        <v>1160</v>
      </c>
      <c r="G131" s="123" t="s">
        <v>551</v>
      </c>
    </row>
    <row r="132" spans="1:7" ht="51" x14ac:dyDescent="0.2">
      <c r="A132" s="247" t="s">
        <v>574</v>
      </c>
      <c r="B132" s="243">
        <v>0</v>
      </c>
      <c r="C132" s="243">
        <v>932513.4</v>
      </c>
      <c r="D132" s="243">
        <v>932513.4</v>
      </c>
      <c r="E132" s="245">
        <f t="shared" si="5"/>
        <v>100</v>
      </c>
      <c r="F132" s="95">
        <v>1160</v>
      </c>
      <c r="G132" s="123" t="s">
        <v>551</v>
      </c>
    </row>
    <row r="133" spans="1:7" ht="25.5" x14ac:dyDescent="0.2">
      <c r="A133" s="247" t="s">
        <v>575</v>
      </c>
      <c r="B133" s="243">
        <v>0</v>
      </c>
      <c r="C133" s="243">
        <v>193220.42</v>
      </c>
      <c r="D133" s="243">
        <v>193220.42</v>
      </c>
      <c r="E133" s="245">
        <f t="shared" si="5"/>
        <v>100</v>
      </c>
      <c r="F133" s="95">
        <v>1160</v>
      </c>
      <c r="G133" s="123" t="s">
        <v>551</v>
      </c>
    </row>
    <row r="134" spans="1:7" x14ac:dyDescent="0.2">
      <c r="A134" s="247" t="s">
        <v>576</v>
      </c>
      <c r="B134" s="243">
        <v>0</v>
      </c>
      <c r="C134" s="243">
        <v>600000</v>
      </c>
      <c r="D134" s="243">
        <v>600000</v>
      </c>
      <c r="E134" s="245">
        <f t="shared" si="5"/>
        <v>100</v>
      </c>
      <c r="F134" s="95">
        <v>1162</v>
      </c>
      <c r="G134" s="123" t="s">
        <v>551</v>
      </c>
    </row>
    <row r="135" spans="1:7" x14ac:dyDescent="0.2">
      <c r="A135" s="247" t="s">
        <v>577</v>
      </c>
      <c r="B135" s="243">
        <v>0</v>
      </c>
      <c r="C135" s="243">
        <v>89903</v>
      </c>
      <c r="D135" s="243">
        <v>89903</v>
      </c>
      <c r="E135" s="245">
        <f t="shared" si="5"/>
        <v>100</v>
      </c>
      <c r="F135" s="95">
        <v>1162</v>
      </c>
      <c r="G135" s="123" t="s">
        <v>551</v>
      </c>
    </row>
    <row r="136" spans="1:7" x14ac:dyDescent="0.2">
      <c r="A136" s="247" t="s">
        <v>578</v>
      </c>
      <c r="B136" s="243">
        <v>0</v>
      </c>
      <c r="C136" s="243">
        <v>40014</v>
      </c>
      <c r="D136" s="243">
        <v>40014</v>
      </c>
      <c r="E136" s="245">
        <f t="shared" si="5"/>
        <v>100</v>
      </c>
      <c r="F136" s="95">
        <v>1162</v>
      </c>
      <c r="G136" s="123" t="s">
        <v>551</v>
      </c>
    </row>
    <row r="137" spans="1:7" x14ac:dyDescent="0.2">
      <c r="A137" s="247" t="s">
        <v>579</v>
      </c>
      <c r="B137" s="243">
        <v>0</v>
      </c>
      <c r="C137" s="243">
        <v>57728.3</v>
      </c>
      <c r="D137" s="243">
        <v>57728.3</v>
      </c>
      <c r="E137" s="245">
        <f t="shared" si="5"/>
        <v>100</v>
      </c>
      <c r="F137" s="95">
        <v>1162</v>
      </c>
      <c r="G137" s="123" t="s">
        <v>551</v>
      </c>
    </row>
    <row r="138" spans="1:7" x14ac:dyDescent="0.2">
      <c r="A138" s="247" t="s">
        <v>579</v>
      </c>
      <c r="B138" s="243">
        <v>0</v>
      </c>
      <c r="C138" s="243">
        <v>246623</v>
      </c>
      <c r="D138" s="243">
        <v>246623</v>
      </c>
      <c r="E138" s="245">
        <f t="shared" si="5"/>
        <v>100</v>
      </c>
      <c r="F138" s="95">
        <v>1162</v>
      </c>
      <c r="G138" s="123" t="s">
        <v>551</v>
      </c>
    </row>
    <row r="139" spans="1:7" ht="13.5" thickBot="1" x14ac:dyDescent="0.25">
      <c r="A139" s="248" t="s">
        <v>580</v>
      </c>
      <c r="B139" s="511">
        <v>0</v>
      </c>
      <c r="C139" s="511">
        <v>49326</v>
      </c>
      <c r="D139" s="511">
        <v>49326</v>
      </c>
      <c r="E139" s="251">
        <f t="shared" si="5"/>
        <v>100</v>
      </c>
      <c r="F139" s="95">
        <v>1162</v>
      </c>
      <c r="G139" s="123" t="s">
        <v>551</v>
      </c>
    </row>
    <row r="140" spans="1:7" ht="13.5" thickTop="1" x14ac:dyDescent="0.2">
      <c r="A140" s="181"/>
      <c r="B140" s="116"/>
      <c r="C140" s="116"/>
      <c r="D140" s="116"/>
      <c r="E140" s="53"/>
      <c r="F140" s="95"/>
      <c r="G140" s="123"/>
    </row>
    <row r="141" spans="1:7" ht="12" customHeight="1" thickBot="1" x14ac:dyDescent="0.25">
      <c r="A141" s="189"/>
      <c r="B141" s="141"/>
      <c r="C141" s="141"/>
      <c r="D141" s="141"/>
      <c r="E141" s="190"/>
      <c r="F141" s="95"/>
      <c r="G141" s="123"/>
    </row>
    <row r="142" spans="1:7" ht="14.25" thickTop="1" thickBot="1" x14ac:dyDescent="0.25">
      <c r="A142" s="41" t="s">
        <v>5</v>
      </c>
      <c r="B142" s="42" t="s">
        <v>0</v>
      </c>
      <c r="C142" s="43" t="s">
        <v>1</v>
      </c>
      <c r="D142" s="44" t="s">
        <v>4</v>
      </c>
      <c r="E142" s="45" t="s">
        <v>6</v>
      </c>
      <c r="F142" s="95"/>
      <c r="G142" s="123"/>
    </row>
    <row r="143" spans="1:7" ht="13.5" thickTop="1" x14ac:dyDescent="0.2">
      <c r="A143" s="512" t="s">
        <v>581</v>
      </c>
      <c r="B143" s="513">
        <v>0</v>
      </c>
      <c r="C143" s="513">
        <v>894997.83</v>
      </c>
      <c r="D143" s="513">
        <v>894997.83</v>
      </c>
      <c r="E143" s="514">
        <f t="shared" si="5"/>
        <v>100</v>
      </c>
      <c r="F143" s="95">
        <v>1200</v>
      </c>
      <c r="G143" s="123" t="s">
        <v>551</v>
      </c>
    </row>
    <row r="144" spans="1:7" x14ac:dyDescent="0.2">
      <c r="A144" s="247" t="s">
        <v>582</v>
      </c>
      <c r="B144" s="243">
        <v>0</v>
      </c>
      <c r="C144" s="243">
        <v>123010</v>
      </c>
      <c r="D144" s="243">
        <v>123010</v>
      </c>
      <c r="E144" s="245">
        <f t="shared" si="5"/>
        <v>100</v>
      </c>
      <c r="F144" s="95">
        <v>1200</v>
      </c>
      <c r="G144" s="123" t="s">
        <v>551</v>
      </c>
    </row>
    <row r="145" spans="1:7" x14ac:dyDescent="0.2">
      <c r="A145" s="247" t="s">
        <v>583</v>
      </c>
      <c r="B145" s="243">
        <v>0</v>
      </c>
      <c r="C145" s="243">
        <v>942590</v>
      </c>
      <c r="D145" s="243">
        <v>942590</v>
      </c>
      <c r="E145" s="245">
        <f t="shared" si="5"/>
        <v>100</v>
      </c>
      <c r="F145" s="95">
        <v>1200</v>
      </c>
      <c r="G145" s="123" t="s">
        <v>551</v>
      </c>
    </row>
    <row r="146" spans="1:7" ht="25.5" x14ac:dyDescent="0.2">
      <c r="A146" s="247" t="s">
        <v>584</v>
      </c>
      <c r="B146" s="243">
        <v>0</v>
      </c>
      <c r="C146" s="243">
        <v>234000</v>
      </c>
      <c r="D146" s="243">
        <v>234000</v>
      </c>
      <c r="E146" s="245">
        <f t="shared" si="5"/>
        <v>100</v>
      </c>
      <c r="F146" s="95">
        <v>1206</v>
      </c>
      <c r="G146" s="123" t="s">
        <v>551</v>
      </c>
    </row>
    <row r="147" spans="1:7" x14ac:dyDescent="0.2">
      <c r="A147" s="247" t="s">
        <v>585</v>
      </c>
      <c r="B147" s="243">
        <v>0</v>
      </c>
      <c r="C147" s="243">
        <v>296372</v>
      </c>
      <c r="D147" s="243">
        <v>296372</v>
      </c>
      <c r="E147" s="245">
        <f t="shared" si="5"/>
        <v>100</v>
      </c>
      <c r="F147" s="95">
        <v>1206</v>
      </c>
      <c r="G147" s="123" t="s">
        <v>551</v>
      </c>
    </row>
    <row r="148" spans="1:7" ht="25.5" x14ac:dyDescent="0.2">
      <c r="A148" s="247" t="s">
        <v>586</v>
      </c>
      <c r="B148" s="243">
        <v>0</v>
      </c>
      <c r="C148" s="243">
        <v>298870</v>
      </c>
      <c r="D148" s="243">
        <v>298870</v>
      </c>
      <c r="E148" s="245">
        <f t="shared" si="5"/>
        <v>100</v>
      </c>
      <c r="F148" s="95">
        <v>1208</v>
      </c>
      <c r="G148" s="123" t="s">
        <v>551</v>
      </c>
    </row>
    <row r="149" spans="1:7" x14ac:dyDescent="0.2">
      <c r="A149" s="247" t="s">
        <v>587</v>
      </c>
      <c r="B149" s="243">
        <v>0</v>
      </c>
      <c r="C149" s="243">
        <v>163130</v>
      </c>
      <c r="D149" s="243">
        <v>163130</v>
      </c>
      <c r="E149" s="245">
        <f t="shared" si="5"/>
        <v>100</v>
      </c>
      <c r="F149" s="95">
        <v>1208</v>
      </c>
      <c r="G149" s="123" t="s">
        <v>551</v>
      </c>
    </row>
    <row r="150" spans="1:7" x14ac:dyDescent="0.2">
      <c r="A150" s="247" t="s">
        <v>588</v>
      </c>
      <c r="B150" s="243">
        <v>0</v>
      </c>
      <c r="C150" s="243">
        <v>149906</v>
      </c>
      <c r="D150" s="243">
        <v>149906</v>
      </c>
      <c r="E150" s="245">
        <f t="shared" si="5"/>
        <v>100</v>
      </c>
      <c r="F150" s="95">
        <v>1212</v>
      </c>
      <c r="G150" s="123" t="s">
        <v>551</v>
      </c>
    </row>
    <row r="151" spans="1:7" x14ac:dyDescent="0.2">
      <c r="A151" s="247" t="s">
        <v>589</v>
      </c>
      <c r="B151" s="243">
        <v>0</v>
      </c>
      <c r="C151" s="243">
        <v>299000</v>
      </c>
      <c r="D151" s="243">
        <v>299000</v>
      </c>
      <c r="E151" s="245">
        <f t="shared" si="5"/>
        <v>100</v>
      </c>
      <c r="F151" s="95">
        <v>1218</v>
      </c>
      <c r="G151" s="123" t="s">
        <v>551</v>
      </c>
    </row>
    <row r="152" spans="1:7" x14ac:dyDescent="0.2">
      <c r="A152" s="247" t="s">
        <v>590</v>
      </c>
      <c r="B152" s="243">
        <v>0</v>
      </c>
      <c r="C152" s="243">
        <v>1006828.36</v>
      </c>
      <c r="D152" s="243">
        <v>1006828.36</v>
      </c>
      <c r="E152" s="245">
        <f t="shared" si="5"/>
        <v>100</v>
      </c>
      <c r="F152" s="95">
        <v>1218</v>
      </c>
      <c r="G152" s="123" t="s">
        <v>551</v>
      </c>
    </row>
    <row r="153" spans="1:7" x14ac:dyDescent="0.2">
      <c r="A153" s="247" t="s">
        <v>591</v>
      </c>
      <c r="B153" s="243">
        <v>0</v>
      </c>
      <c r="C153" s="243">
        <v>426334.4</v>
      </c>
      <c r="D153" s="243">
        <v>426334.4</v>
      </c>
      <c r="E153" s="245">
        <f t="shared" si="5"/>
        <v>100</v>
      </c>
      <c r="F153" s="95">
        <v>1223</v>
      </c>
      <c r="G153" s="123" t="s">
        <v>551</v>
      </c>
    </row>
    <row r="154" spans="1:7" ht="25.5" x14ac:dyDescent="0.2">
      <c r="A154" s="247" t="s">
        <v>592</v>
      </c>
      <c r="B154" s="243">
        <v>0</v>
      </c>
      <c r="C154" s="243">
        <v>247301</v>
      </c>
      <c r="D154" s="243">
        <v>247301</v>
      </c>
      <c r="E154" s="245">
        <f t="shared" si="5"/>
        <v>100</v>
      </c>
      <c r="F154" s="95">
        <v>1223</v>
      </c>
      <c r="G154" s="123" t="s">
        <v>551</v>
      </c>
    </row>
    <row r="155" spans="1:7" ht="25.5" x14ac:dyDescent="0.2">
      <c r="A155" s="247" t="s">
        <v>593</v>
      </c>
      <c r="B155" s="243">
        <v>0</v>
      </c>
      <c r="C155" s="243">
        <v>950000</v>
      </c>
      <c r="D155" s="243">
        <v>950000</v>
      </c>
      <c r="E155" s="245">
        <f t="shared" si="5"/>
        <v>100</v>
      </c>
      <c r="F155" s="95">
        <v>1225</v>
      </c>
      <c r="G155" s="123" t="s">
        <v>551</v>
      </c>
    </row>
    <row r="156" spans="1:7" ht="25.5" x14ac:dyDescent="0.2">
      <c r="A156" s="247" t="s">
        <v>594</v>
      </c>
      <c r="B156" s="243">
        <v>0</v>
      </c>
      <c r="C156" s="243">
        <v>609840</v>
      </c>
      <c r="D156" s="243">
        <v>609840</v>
      </c>
      <c r="E156" s="245">
        <f t="shared" si="5"/>
        <v>100</v>
      </c>
      <c r="F156" s="95">
        <v>1226</v>
      </c>
      <c r="G156" s="123" t="s">
        <v>551</v>
      </c>
    </row>
    <row r="157" spans="1:7" ht="25.5" x14ac:dyDescent="0.2">
      <c r="A157" s="247" t="s">
        <v>595</v>
      </c>
      <c r="B157" s="243">
        <v>0</v>
      </c>
      <c r="C157" s="243">
        <v>275000</v>
      </c>
      <c r="D157" s="243">
        <v>275000</v>
      </c>
      <c r="E157" s="245">
        <f t="shared" si="5"/>
        <v>100</v>
      </c>
      <c r="F157" s="95">
        <v>1226</v>
      </c>
      <c r="G157" s="123" t="s">
        <v>551</v>
      </c>
    </row>
    <row r="158" spans="1:7" x14ac:dyDescent="0.2">
      <c r="A158" s="247" t="s">
        <v>596</v>
      </c>
      <c r="B158" s="243">
        <v>0</v>
      </c>
      <c r="C158" s="243">
        <v>1500000</v>
      </c>
      <c r="D158" s="243">
        <v>1500000</v>
      </c>
      <c r="E158" s="245">
        <f t="shared" si="5"/>
        <v>100</v>
      </c>
      <c r="F158" s="95">
        <v>1226</v>
      </c>
      <c r="G158" s="123" t="s">
        <v>551</v>
      </c>
    </row>
    <row r="159" spans="1:7" x14ac:dyDescent="0.2">
      <c r="A159" s="247" t="s">
        <v>597</v>
      </c>
      <c r="B159" s="243">
        <v>0</v>
      </c>
      <c r="C159" s="243">
        <v>144837</v>
      </c>
      <c r="D159" s="243">
        <v>144837</v>
      </c>
      <c r="E159" s="245">
        <f t="shared" si="5"/>
        <v>100</v>
      </c>
      <c r="F159" s="95">
        <v>1226</v>
      </c>
      <c r="G159" s="123" t="s">
        <v>551</v>
      </c>
    </row>
    <row r="160" spans="1:7" ht="25.5" x14ac:dyDescent="0.2">
      <c r="A160" s="247" t="s">
        <v>598</v>
      </c>
      <c r="B160" s="243">
        <v>0</v>
      </c>
      <c r="C160" s="243">
        <v>66918.600000000006</v>
      </c>
      <c r="D160" s="243">
        <v>66918.600000000006</v>
      </c>
      <c r="E160" s="245">
        <f t="shared" si="5"/>
        <v>100</v>
      </c>
      <c r="F160" s="95">
        <v>1300</v>
      </c>
      <c r="G160" s="123" t="s">
        <v>551</v>
      </c>
    </row>
    <row r="161" spans="1:12" ht="25.5" x14ac:dyDescent="0.2">
      <c r="A161" s="247" t="s">
        <v>599</v>
      </c>
      <c r="B161" s="243">
        <v>0</v>
      </c>
      <c r="C161" s="243">
        <v>95941</v>
      </c>
      <c r="D161" s="243">
        <v>95941</v>
      </c>
      <c r="E161" s="245">
        <f t="shared" si="5"/>
        <v>100</v>
      </c>
      <c r="F161" s="95">
        <v>1400</v>
      </c>
      <c r="G161" s="123" t="s">
        <v>551</v>
      </c>
    </row>
    <row r="162" spans="1:12" x14ac:dyDescent="0.2">
      <c r="A162" s="247" t="s">
        <v>600</v>
      </c>
      <c r="B162" s="243">
        <v>0</v>
      </c>
      <c r="C162" s="243">
        <v>695000</v>
      </c>
      <c r="D162" s="243">
        <v>695000</v>
      </c>
      <c r="E162" s="245">
        <f t="shared" si="5"/>
        <v>100</v>
      </c>
      <c r="F162" s="95">
        <v>1402</v>
      </c>
      <c r="G162" s="123" t="s">
        <v>551</v>
      </c>
    </row>
    <row r="163" spans="1:12" ht="25.5" x14ac:dyDescent="0.2">
      <c r="A163" s="247" t="s">
        <v>601</v>
      </c>
      <c r="B163" s="243">
        <v>0</v>
      </c>
      <c r="C163" s="243">
        <v>70000</v>
      </c>
      <c r="D163" s="243">
        <v>70000</v>
      </c>
      <c r="E163" s="245">
        <f t="shared" si="5"/>
        <v>100</v>
      </c>
      <c r="F163" s="95">
        <v>1403</v>
      </c>
      <c r="G163" s="123" t="s">
        <v>551</v>
      </c>
    </row>
    <row r="164" spans="1:12" x14ac:dyDescent="0.2">
      <c r="A164" s="247" t="s">
        <v>602</v>
      </c>
      <c r="B164" s="243">
        <v>0</v>
      </c>
      <c r="C164" s="243">
        <v>151000</v>
      </c>
      <c r="D164" s="243">
        <v>151000</v>
      </c>
      <c r="E164" s="245">
        <f t="shared" si="5"/>
        <v>100</v>
      </c>
      <c r="F164" s="95">
        <v>1403</v>
      </c>
      <c r="G164" s="123" t="s">
        <v>551</v>
      </c>
    </row>
    <row r="165" spans="1:12" ht="13.5" thickBot="1" x14ac:dyDescent="0.25">
      <c r="A165" s="248" t="s">
        <v>603</v>
      </c>
      <c r="B165" s="511">
        <v>0</v>
      </c>
      <c r="C165" s="511">
        <v>290660</v>
      </c>
      <c r="D165" s="511">
        <v>290660</v>
      </c>
      <c r="E165" s="251">
        <f t="shared" si="5"/>
        <v>100</v>
      </c>
      <c r="F165" s="95">
        <v>1407</v>
      </c>
      <c r="G165" s="123" t="s">
        <v>551</v>
      </c>
    </row>
    <row r="166" spans="1:12" s="61" customFormat="1" ht="13.5" thickTop="1" x14ac:dyDescent="0.2">
      <c r="A166" s="161"/>
      <c r="B166" s="116"/>
      <c r="C166" s="116"/>
      <c r="D166" s="116"/>
      <c r="E166" s="53"/>
      <c r="F166" s="84"/>
      <c r="G166" s="123"/>
      <c r="H166" s="60"/>
    </row>
    <row r="167" spans="1:12" ht="15" customHeight="1" thickBot="1" x14ac:dyDescent="0.3">
      <c r="A167" s="39" t="s">
        <v>721</v>
      </c>
      <c r="B167" s="32"/>
      <c r="E167" s="40" t="s">
        <v>18</v>
      </c>
      <c r="F167" s="5"/>
      <c r="G167" s="98"/>
    </row>
    <row r="168" spans="1:12" ht="14.25" thickTop="1" thickBot="1" x14ac:dyDescent="0.25">
      <c r="A168" s="41" t="s">
        <v>5</v>
      </c>
      <c r="B168" s="42" t="s">
        <v>0</v>
      </c>
      <c r="C168" s="43" t="s">
        <v>1</v>
      </c>
      <c r="D168" s="44" t="s">
        <v>4</v>
      </c>
      <c r="E168" s="45" t="s">
        <v>6</v>
      </c>
      <c r="F168" s="5"/>
      <c r="G168" s="98"/>
    </row>
    <row r="169" spans="1:12" s="81" customFormat="1" ht="15.75" thickTop="1" x14ac:dyDescent="0.2">
      <c r="A169" s="46" t="s">
        <v>7</v>
      </c>
      <c r="B169" s="47">
        <f>SUM(B170:B170)</f>
        <v>2501000</v>
      </c>
      <c r="C169" s="47">
        <f>SUM(C170:C170)</f>
        <v>2841050</v>
      </c>
      <c r="D169" s="47">
        <f>SUM(D170:D170)</f>
        <v>2836140</v>
      </c>
      <c r="E169" s="79">
        <f>D169/C169*100</f>
        <v>99.827176572042035</v>
      </c>
      <c r="F169" s="80" t="s">
        <v>2</v>
      </c>
      <c r="G169" s="151" t="s">
        <v>36</v>
      </c>
    </row>
    <row r="170" spans="1:12" s="81" customFormat="1" ht="39" thickBot="1" x14ac:dyDescent="0.25">
      <c r="A170" s="182" t="s">
        <v>729</v>
      </c>
      <c r="B170" s="139">
        <v>2501000</v>
      </c>
      <c r="C170" s="141">
        <v>2841050</v>
      </c>
      <c r="D170" s="139">
        <v>2836140</v>
      </c>
      <c r="E170" s="140">
        <f t="shared" ref="E170" si="6">D170/C170*100</f>
        <v>99.827176572042035</v>
      </c>
      <c r="F170" s="122"/>
      <c r="G170" s="99"/>
      <c r="I170" s="129" t="s">
        <v>36</v>
      </c>
      <c r="J170" s="130">
        <f>B169</f>
        <v>2501000</v>
      </c>
      <c r="K170" s="130">
        <f>C169</f>
        <v>2841050</v>
      </c>
      <c r="L170" s="130">
        <f>D169</f>
        <v>2836140</v>
      </c>
    </row>
    <row r="171" spans="1:12" s="81" customFormat="1" ht="13.5" thickTop="1" x14ac:dyDescent="0.2">
      <c r="A171" s="115"/>
      <c r="B171" s="116"/>
      <c r="C171" s="52"/>
      <c r="D171" s="116"/>
      <c r="E171" s="53"/>
      <c r="F171" s="117"/>
      <c r="G171" s="99"/>
      <c r="I171" s="118" t="s">
        <v>33</v>
      </c>
      <c r="J171" s="127">
        <f>SUM(B8:B65)</f>
        <v>233351000</v>
      </c>
      <c r="K171" s="127">
        <f>SUM(C8:C65)</f>
        <v>257028000</v>
      </c>
      <c r="L171" s="127">
        <f>SUM(D8:D65)</f>
        <v>225073903.63999996</v>
      </c>
    </row>
    <row r="172" spans="1:12" s="81" customFormat="1" x14ac:dyDescent="0.2">
      <c r="A172" s="115"/>
      <c r="B172" s="116"/>
      <c r="C172" s="52"/>
      <c r="D172" s="116"/>
      <c r="E172" s="53"/>
      <c r="F172" s="117"/>
      <c r="G172" s="99"/>
      <c r="H172" s="123"/>
      <c r="I172" s="198" t="s">
        <v>35</v>
      </c>
      <c r="J172" s="199">
        <f>SUM(B70:B165)</f>
        <v>0</v>
      </c>
      <c r="K172" s="199">
        <f>SUM(C70:C165)</f>
        <v>40488794.170000002</v>
      </c>
      <c r="L172" s="199">
        <f>SUM(D70:D165)</f>
        <v>40385754.170000002</v>
      </c>
    </row>
    <row r="173" spans="1:12" s="6" customFormat="1" ht="18.75" thickBot="1" x14ac:dyDescent="0.3">
      <c r="A173" s="63" t="s">
        <v>20</v>
      </c>
      <c r="B173" s="582">
        <f>SUM(B69,B7,B169)</f>
        <v>235852000</v>
      </c>
      <c r="C173" s="582">
        <f t="shared" ref="C173:D173" si="7">SUM(C69,C7,C169)</f>
        <v>300357844.17000002</v>
      </c>
      <c r="D173" s="582">
        <f t="shared" si="7"/>
        <v>268295797.80999994</v>
      </c>
      <c r="E173" s="65">
        <f>D173/C173*100</f>
        <v>89.325384043623231</v>
      </c>
      <c r="F173" s="108"/>
      <c r="G173" s="66"/>
      <c r="H173" s="66"/>
      <c r="I173" s="81"/>
      <c r="J173" s="126">
        <f>J172+J171+J170</f>
        <v>235852000</v>
      </c>
      <c r="K173" s="126">
        <f t="shared" ref="K173:L173" si="8">K172+K171+K170</f>
        <v>300357844.17000002</v>
      </c>
      <c r="L173" s="126">
        <f t="shared" si="8"/>
        <v>268295797.80999994</v>
      </c>
    </row>
    <row r="174" spans="1:12" ht="13.5" thickTop="1" x14ac:dyDescent="0.2">
      <c r="A174" s="62"/>
      <c r="B174" s="116"/>
      <c r="C174" s="56"/>
      <c r="D174" s="51"/>
      <c r="E174" s="53"/>
      <c r="F174" s="37"/>
    </row>
    <row r="175" spans="1:12" x14ac:dyDescent="0.2">
      <c r="A175" s="62"/>
      <c r="B175" s="116"/>
      <c r="C175" s="56"/>
      <c r="D175" s="51"/>
      <c r="E175" s="53"/>
      <c r="F175" s="37"/>
    </row>
    <row r="176" spans="1:12" ht="18" x14ac:dyDescent="0.25">
      <c r="A176" s="36" t="s">
        <v>28</v>
      </c>
      <c r="B176" s="32"/>
    </row>
    <row r="177" spans="1:8" ht="15" customHeight="1" thickBot="1" x14ac:dyDescent="0.3">
      <c r="A177" s="39" t="s">
        <v>229</v>
      </c>
      <c r="B177" s="32"/>
      <c r="E177" s="40" t="s">
        <v>18</v>
      </c>
    </row>
    <row r="178" spans="1:8" ht="14.25" thickTop="1" thickBot="1" x14ac:dyDescent="0.25">
      <c r="A178" s="41" t="s">
        <v>5</v>
      </c>
      <c r="B178" s="42" t="s">
        <v>0</v>
      </c>
      <c r="C178" s="43" t="s">
        <v>1</v>
      </c>
      <c r="D178" s="44" t="s">
        <v>4</v>
      </c>
      <c r="E178" s="45" t="s">
        <v>6</v>
      </c>
    </row>
    <row r="179" spans="1:8" ht="15.75" thickTop="1" x14ac:dyDescent="0.25">
      <c r="A179" s="46" t="s">
        <v>9</v>
      </c>
      <c r="B179" s="47">
        <f>SUM(B180:B212)</f>
        <v>81439000</v>
      </c>
      <c r="C179" s="47">
        <f t="shared" ref="C179:D179" si="9">SUM(C180:C212)</f>
        <v>86576199.999999985</v>
      </c>
      <c r="D179" s="47">
        <f t="shared" si="9"/>
        <v>66454336.969999999</v>
      </c>
      <c r="E179" s="48">
        <f>D179/C179*100</f>
        <v>76.7582048761669</v>
      </c>
      <c r="F179" s="85"/>
    </row>
    <row r="180" spans="1:8" s="35" customFormat="1" x14ac:dyDescent="0.2">
      <c r="A180" s="618" t="s">
        <v>52</v>
      </c>
      <c r="B180" s="619">
        <v>18599000</v>
      </c>
      <c r="C180" s="614">
        <v>18599010</v>
      </c>
      <c r="D180" s="617">
        <v>18598922.32</v>
      </c>
      <c r="E180" s="615">
        <f t="shared" ref="E180:E183" si="10">D180/C180*100</f>
        <v>99.999528577058669</v>
      </c>
      <c r="F180" s="119" t="s">
        <v>51</v>
      </c>
      <c r="G180" s="118" t="s">
        <v>33</v>
      </c>
      <c r="H180" s="30"/>
    </row>
    <row r="181" spans="1:8" s="35" customFormat="1" x14ac:dyDescent="0.2">
      <c r="A181" s="252" t="s">
        <v>275</v>
      </c>
      <c r="B181" s="253">
        <v>0</v>
      </c>
      <c r="C181" s="244">
        <v>580000</v>
      </c>
      <c r="D181" s="246">
        <v>0</v>
      </c>
      <c r="E181" s="245">
        <f t="shared" si="10"/>
        <v>0</v>
      </c>
      <c r="F181" s="119" t="s">
        <v>210</v>
      </c>
      <c r="G181" s="118" t="s">
        <v>33</v>
      </c>
      <c r="H181" s="30"/>
    </row>
    <row r="182" spans="1:8" s="89" customFormat="1" x14ac:dyDescent="0.2">
      <c r="A182" s="242" t="s">
        <v>158</v>
      </c>
      <c r="B182" s="253">
        <v>0</v>
      </c>
      <c r="C182" s="244">
        <v>43002.65</v>
      </c>
      <c r="D182" s="246">
        <v>43002.65</v>
      </c>
      <c r="E182" s="245">
        <f t="shared" si="10"/>
        <v>100</v>
      </c>
      <c r="F182" s="120" t="s">
        <v>96</v>
      </c>
      <c r="G182" s="118" t="s">
        <v>33</v>
      </c>
      <c r="H182" s="88"/>
    </row>
    <row r="183" spans="1:8" s="89" customFormat="1" x14ac:dyDescent="0.2">
      <c r="A183" s="242" t="s">
        <v>276</v>
      </c>
      <c r="B183" s="253">
        <v>0</v>
      </c>
      <c r="C183" s="244">
        <v>1000</v>
      </c>
      <c r="D183" s="246">
        <v>1000</v>
      </c>
      <c r="E183" s="245">
        <f t="shared" si="10"/>
        <v>100</v>
      </c>
      <c r="F183" s="120" t="s">
        <v>211</v>
      </c>
      <c r="G183" s="118" t="s">
        <v>33</v>
      </c>
      <c r="H183" s="88"/>
    </row>
    <row r="184" spans="1:8" s="35" customFormat="1" x14ac:dyDescent="0.2">
      <c r="A184" s="254" t="s">
        <v>277</v>
      </c>
      <c r="B184" s="253">
        <v>0</v>
      </c>
      <c r="C184" s="244">
        <v>10000</v>
      </c>
      <c r="D184" s="246">
        <v>10000</v>
      </c>
      <c r="E184" s="245">
        <f t="shared" ref="E184:E212" si="11">D184/C184*100</f>
        <v>100</v>
      </c>
      <c r="F184" s="119" t="s">
        <v>212</v>
      </c>
      <c r="G184" s="118" t="s">
        <v>33</v>
      </c>
      <c r="H184" s="30"/>
    </row>
    <row r="185" spans="1:8" s="35" customFormat="1" ht="12.75" customHeight="1" x14ac:dyDescent="0.2">
      <c r="A185" s="254" t="s">
        <v>159</v>
      </c>
      <c r="B185" s="253">
        <v>22000000</v>
      </c>
      <c r="C185" s="244">
        <v>21924200</v>
      </c>
      <c r="D185" s="246">
        <v>11088981.08</v>
      </c>
      <c r="E185" s="245">
        <f t="shared" si="11"/>
        <v>50.578726156484613</v>
      </c>
      <c r="F185" s="119" t="s">
        <v>53</v>
      </c>
      <c r="G185" s="118" t="s">
        <v>33</v>
      </c>
      <c r="H185" s="30"/>
    </row>
    <row r="186" spans="1:8" s="35" customFormat="1" x14ac:dyDescent="0.2">
      <c r="A186" s="254" t="s">
        <v>160</v>
      </c>
      <c r="B186" s="253">
        <v>494000</v>
      </c>
      <c r="C186" s="244">
        <v>524000</v>
      </c>
      <c r="D186" s="246">
        <v>159795</v>
      </c>
      <c r="E186" s="245">
        <f t="shared" si="11"/>
        <v>30.49522900763359</v>
      </c>
      <c r="F186" s="119" t="s">
        <v>97</v>
      </c>
      <c r="G186" s="118" t="s">
        <v>33</v>
      </c>
      <c r="H186" s="30"/>
    </row>
    <row r="187" spans="1:8" s="35" customFormat="1" x14ac:dyDescent="0.2">
      <c r="A187" s="254" t="s">
        <v>278</v>
      </c>
      <c r="B187" s="253">
        <v>850000</v>
      </c>
      <c r="C187" s="244">
        <v>822698.98</v>
      </c>
      <c r="D187" s="246">
        <v>822698.98</v>
      </c>
      <c r="E187" s="245">
        <f t="shared" si="11"/>
        <v>100</v>
      </c>
      <c r="F187" s="119" t="s">
        <v>98</v>
      </c>
      <c r="G187" s="118" t="s">
        <v>33</v>
      </c>
      <c r="H187" s="30"/>
    </row>
    <row r="188" spans="1:8" s="35" customFormat="1" x14ac:dyDescent="0.2">
      <c r="A188" s="254" t="s">
        <v>74</v>
      </c>
      <c r="B188" s="253">
        <v>1215000</v>
      </c>
      <c r="C188" s="244">
        <v>1010307</v>
      </c>
      <c r="D188" s="246">
        <v>1010307</v>
      </c>
      <c r="E188" s="245">
        <f t="shared" si="11"/>
        <v>100</v>
      </c>
      <c r="F188" s="119" t="s">
        <v>65</v>
      </c>
      <c r="G188" s="118" t="s">
        <v>33</v>
      </c>
      <c r="H188" s="30"/>
    </row>
    <row r="189" spans="1:8" s="35" customFormat="1" x14ac:dyDescent="0.2">
      <c r="A189" s="254" t="s">
        <v>75</v>
      </c>
      <c r="B189" s="253">
        <v>3806000</v>
      </c>
      <c r="C189" s="244">
        <v>2218473</v>
      </c>
      <c r="D189" s="246">
        <v>2218473</v>
      </c>
      <c r="E189" s="245">
        <f t="shared" si="11"/>
        <v>100</v>
      </c>
      <c r="F189" s="119" t="s">
        <v>66</v>
      </c>
      <c r="G189" s="118" t="s">
        <v>33</v>
      </c>
    </row>
    <row r="190" spans="1:8" s="35" customFormat="1" x14ac:dyDescent="0.2">
      <c r="A190" s="254" t="s">
        <v>161</v>
      </c>
      <c r="B190" s="253">
        <v>15000000</v>
      </c>
      <c r="C190" s="244">
        <v>9500000</v>
      </c>
      <c r="D190" s="246">
        <v>4154185.71</v>
      </c>
      <c r="E190" s="245">
        <f t="shared" si="11"/>
        <v>43.728270631578944</v>
      </c>
      <c r="F190" s="119" t="s">
        <v>99</v>
      </c>
      <c r="G190" s="118" t="s">
        <v>33</v>
      </c>
      <c r="H190" s="31"/>
    </row>
    <row r="191" spans="1:8" s="35" customFormat="1" x14ac:dyDescent="0.2">
      <c r="A191" s="254" t="s">
        <v>162</v>
      </c>
      <c r="B191" s="253">
        <v>3850000</v>
      </c>
      <c r="C191" s="244">
        <v>2353868</v>
      </c>
      <c r="D191" s="246">
        <v>2353868</v>
      </c>
      <c r="E191" s="245">
        <f t="shared" si="11"/>
        <v>100</v>
      </c>
      <c r="F191" s="119" t="s">
        <v>100</v>
      </c>
      <c r="G191" s="118" t="s">
        <v>33</v>
      </c>
      <c r="H191" s="31"/>
    </row>
    <row r="192" spans="1:8" s="35" customFormat="1" ht="13.5" customHeight="1" x14ac:dyDescent="0.2">
      <c r="A192" s="254" t="s">
        <v>163</v>
      </c>
      <c r="B192" s="253">
        <v>10425000</v>
      </c>
      <c r="C192" s="244">
        <v>4363901.0199999996</v>
      </c>
      <c r="D192" s="246">
        <v>4363901</v>
      </c>
      <c r="E192" s="245">
        <f t="shared" si="11"/>
        <v>99.999999541694478</v>
      </c>
      <c r="F192" s="119" t="s">
        <v>101</v>
      </c>
      <c r="G192" s="118" t="s">
        <v>33</v>
      </c>
      <c r="H192" s="31"/>
    </row>
    <row r="193" spans="1:8" s="35" customFormat="1" x14ac:dyDescent="0.2">
      <c r="A193" s="254" t="s">
        <v>164</v>
      </c>
      <c r="B193" s="253">
        <v>1200000</v>
      </c>
      <c r="C193" s="244">
        <v>772575.59</v>
      </c>
      <c r="D193" s="246">
        <v>772575.59</v>
      </c>
      <c r="E193" s="245">
        <f t="shared" si="11"/>
        <v>100</v>
      </c>
      <c r="F193" s="119" t="s">
        <v>102</v>
      </c>
      <c r="G193" s="118" t="s">
        <v>33</v>
      </c>
      <c r="H193" s="31"/>
    </row>
    <row r="194" spans="1:8" s="35" customFormat="1" x14ac:dyDescent="0.2">
      <c r="A194" s="254" t="s">
        <v>165</v>
      </c>
      <c r="B194" s="253">
        <v>0</v>
      </c>
      <c r="C194" s="244">
        <v>1114578.8999999999</v>
      </c>
      <c r="D194" s="246">
        <v>1114578.8999999999</v>
      </c>
      <c r="E194" s="245">
        <f t="shared" si="11"/>
        <v>100</v>
      </c>
      <c r="F194" s="119" t="s">
        <v>103</v>
      </c>
      <c r="G194" s="118" t="s">
        <v>33</v>
      </c>
      <c r="H194" s="31"/>
    </row>
    <row r="195" spans="1:8" s="35" customFormat="1" x14ac:dyDescent="0.2">
      <c r="A195" s="254" t="s">
        <v>166</v>
      </c>
      <c r="B195" s="253">
        <v>500000</v>
      </c>
      <c r="C195" s="244">
        <v>348060</v>
      </c>
      <c r="D195" s="246">
        <v>348060</v>
      </c>
      <c r="E195" s="245">
        <f t="shared" si="11"/>
        <v>100</v>
      </c>
      <c r="F195" s="119" t="s">
        <v>104</v>
      </c>
      <c r="G195" s="118" t="s">
        <v>33</v>
      </c>
      <c r="H195" s="31"/>
    </row>
    <row r="196" spans="1:8" s="35" customFormat="1" x14ac:dyDescent="0.2">
      <c r="A196" s="254" t="s">
        <v>167</v>
      </c>
      <c r="B196" s="253">
        <v>3500000</v>
      </c>
      <c r="C196" s="244">
        <v>2207590</v>
      </c>
      <c r="D196" s="246">
        <v>1857903.69</v>
      </c>
      <c r="E196" s="245">
        <f t="shared" si="11"/>
        <v>84.159816360827861</v>
      </c>
      <c r="F196" s="119" t="s">
        <v>105</v>
      </c>
      <c r="G196" s="118" t="s">
        <v>33</v>
      </c>
      <c r="H196" s="31"/>
    </row>
    <row r="197" spans="1:8" s="35" customFormat="1" x14ac:dyDescent="0.2">
      <c r="A197" s="254" t="s">
        <v>279</v>
      </c>
      <c r="B197" s="253">
        <v>0</v>
      </c>
      <c r="C197" s="244">
        <v>700000</v>
      </c>
      <c r="D197" s="246">
        <v>152097</v>
      </c>
      <c r="E197" s="245">
        <f t="shared" si="11"/>
        <v>21.728142857142856</v>
      </c>
      <c r="F197" s="119" t="s">
        <v>213</v>
      </c>
      <c r="G197" s="118" t="s">
        <v>33</v>
      </c>
      <c r="H197" s="31"/>
    </row>
    <row r="198" spans="1:8" s="35" customFormat="1" x14ac:dyDescent="0.2">
      <c r="A198" s="254" t="s">
        <v>280</v>
      </c>
      <c r="B198" s="253">
        <v>0</v>
      </c>
      <c r="C198" s="244">
        <v>90000</v>
      </c>
      <c r="D198" s="246">
        <v>21000</v>
      </c>
      <c r="E198" s="245">
        <f t="shared" si="11"/>
        <v>23.333333333333332</v>
      </c>
      <c r="F198" s="119" t="s">
        <v>214</v>
      </c>
      <c r="G198" s="118" t="s">
        <v>33</v>
      </c>
      <c r="H198" s="31"/>
    </row>
    <row r="199" spans="1:8" s="35" customFormat="1" x14ac:dyDescent="0.2">
      <c r="A199" s="254" t="s">
        <v>281</v>
      </c>
      <c r="B199" s="253">
        <v>0</v>
      </c>
      <c r="C199" s="244">
        <v>300000</v>
      </c>
      <c r="D199" s="246">
        <v>0</v>
      </c>
      <c r="E199" s="245">
        <f t="shared" si="11"/>
        <v>0</v>
      </c>
      <c r="F199" s="119" t="s">
        <v>215</v>
      </c>
      <c r="G199" s="118" t="s">
        <v>33</v>
      </c>
      <c r="H199" s="31"/>
    </row>
    <row r="200" spans="1:8" s="35" customFormat="1" x14ac:dyDescent="0.2">
      <c r="A200" s="254" t="s">
        <v>282</v>
      </c>
      <c r="B200" s="253">
        <v>0</v>
      </c>
      <c r="C200" s="244">
        <v>300000</v>
      </c>
      <c r="D200" s="246">
        <v>0</v>
      </c>
      <c r="E200" s="245">
        <f t="shared" si="11"/>
        <v>0</v>
      </c>
      <c r="F200" s="119" t="s">
        <v>216</v>
      </c>
      <c r="G200" s="118" t="s">
        <v>33</v>
      </c>
      <c r="H200" s="31"/>
    </row>
    <row r="201" spans="1:8" s="35" customFormat="1" ht="25.5" x14ac:dyDescent="0.2">
      <c r="A201" s="254" t="s">
        <v>283</v>
      </c>
      <c r="B201" s="253">
        <v>0</v>
      </c>
      <c r="C201" s="244">
        <v>200000</v>
      </c>
      <c r="D201" s="246">
        <v>159720</v>
      </c>
      <c r="E201" s="245">
        <f t="shared" si="11"/>
        <v>79.86</v>
      </c>
      <c r="F201" s="120" t="s">
        <v>217</v>
      </c>
      <c r="G201" s="146" t="s">
        <v>33</v>
      </c>
      <c r="H201" s="31"/>
    </row>
    <row r="202" spans="1:8" s="35" customFormat="1" x14ac:dyDescent="0.2">
      <c r="A202" s="254" t="s">
        <v>284</v>
      </c>
      <c r="B202" s="253">
        <v>0</v>
      </c>
      <c r="C202" s="244">
        <v>133900</v>
      </c>
      <c r="D202" s="246">
        <v>133826</v>
      </c>
      <c r="E202" s="245">
        <f t="shared" si="11"/>
        <v>99.944734876773708</v>
      </c>
      <c r="F202" s="119" t="s">
        <v>218</v>
      </c>
      <c r="G202" s="118" t="s">
        <v>33</v>
      </c>
      <c r="H202" s="31"/>
    </row>
    <row r="203" spans="1:8" s="35" customFormat="1" x14ac:dyDescent="0.2">
      <c r="A203" s="254" t="s">
        <v>285</v>
      </c>
      <c r="B203" s="253">
        <v>0</v>
      </c>
      <c r="C203" s="244">
        <v>3466490</v>
      </c>
      <c r="D203" s="246">
        <v>3466302</v>
      </c>
      <c r="E203" s="245">
        <f t="shared" si="11"/>
        <v>99.994576646694497</v>
      </c>
      <c r="F203" s="119" t="s">
        <v>219</v>
      </c>
      <c r="G203" s="118" t="s">
        <v>33</v>
      </c>
      <c r="H203" s="31"/>
    </row>
    <row r="204" spans="1:8" s="35" customFormat="1" x14ac:dyDescent="0.2">
      <c r="A204" s="254" t="s">
        <v>286</v>
      </c>
      <c r="B204" s="253">
        <v>0</v>
      </c>
      <c r="C204" s="244">
        <v>4395670.8600000003</v>
      </c>
      <c r="D204" s="246">
        <v>4395358</v>
      </c>
      <c r="E204" s="245">
        <f t="shared" si="11"/>
        <v>99.992882542620578</v>
      </c>
      <c r="F204" s="119" t="s">
        <v>220</v>
      </c>
      <c r="G204" s="118" t="s">
        <v>33</v>
      </c>
      <c r="H204" s="31"/>
    </row>
    <row r="205" spans="1:8" s="35" customFormat="1" x14ac:dyDescent="0.2">
      <c r="A205" s="254" t="s">
        <v>287</v>
      </c>
      <c r="B205" s="253">
        <v>0</v>
      </c>
      <c r="C205" s="244">
        <v>1000000</v>
      </c>
      <c r="D205" s="246">
        <v>0</v>
      </c>
      <c r="E205" s="245">
        <f t="shared" si="11"/>
        <v>0</v>
      </c>
      <c r="F205" s="119" t="s">
        <v>221</v>
      </c>
      <c r="G205" s="118" t="s">
        <v>33</v>
      </c>
      <c r="H205" s="31"/>
    </row>
    <row r="206" spans="1:8" s="35" customFormat="1" x14ac:dyDescent="0.2">
      <c r="A206" s="254" t="s">
        <v>288</v>
      </c>
      <c r="B206" s="253">
        <v>0</v>
      </c>
      <c r="C206" s="244">
        <v>2852000</v>
      </c>
      <c r="D206" s="246">
        <v>2838436.05</v>
      </c>
      <c r="E206" s="245">
        <f t="shared" si="11"/>
        <v>99.52440568022439</v>
      </c>
      <c r="F206" s="119" t="s">
        <v>222</v>
      </c>
      <c r="G206" s="118" t="s">
        <v>33</v>
      </c>
      <c r="H206" s="31"/>
    </row>
    <row r="207" spans="1:8" s="35" customFormat="1" x14ac:dyDescent="0.2">
      <c r="A207" s="254" t="s">
        <v>289</v>
      </c>
      <c r="B207" s="253">
        <v>0</v>
      </c>
      <c r="C207" s="244">
        <v>3198000</v>
      </c>
      <c r="D207" s="246">
        <v>3162070.9</v>
      </c>
      <c r="E207" s="245">
        <f t="shared" si="11"/>
        <v>98.876513445903697</v>
      </c>
      <c r="F207" s="119" t="s">
        <v>223</v>
      </c>
      <c r="G207" s="118" t="s">
        <v>33</v>
      </c>
      <c r="H207" s="31"/>
    </row>
    <row r="208" spans="1:8" s="35" customFormat="1" x14ac:dyDescent="0.2">
      <c r="A208" s="254" t="s">
        <v>290</v>
      </c>
      <c r="B208" s="253">
        <v>0</v>
      </c>
      <c r="C208" s="244">
        <v>1186874</v>
      </c>
      <c r="D208" s="246">
        <v>1186846.5</v>
      </c>
      <c r="E208" s="245">
        <f t="shared" si="11"/>
        <v>99.997682989095722</v>
      </c>
      <c r="F208" s="119" t="s">
        <v>224</v>
      </c>
      <c r="G208" s="118" t="s">
        <v>33</v>
      </c>
      <c r="H208" s="31"/>
    </row>
    <row r="209" spans="1:8" s="35" customFormat="1" x14ac:dyDescent="0.2">
      <c r="A209" s="254" t="s">
        <v>291</v>
      </c>
      <c r="B209" s="253">
        <v>0</v>
      </c>
      <c r="C209" s="244">
        <v>1820000</v>
      </c>
      <c r="D209" s="246">
        <v>1761294</v>
      </c>
      <c r="E209" s="245">
        <f t="shared" si="11"/>
        <v>96.774395604395608</v>
      </c>
      <c r="F209" s="119" t="s">
        <v>225</v>
      </c>
      <c r="G209" s="118" t="s">
        <v>33</v>
      </c>
      <c r="H209" s="31"/>
    </row>
    <row r="210" spans="1:8" s="35" customFormat="1" x14ac:dyDescent="0.2">
      <c r="A210" s="254" t="s">
        <v>292</v>
      </c>
      <c r="B210" s="253">
        <v>0</v>
      </c>
      <c r="C210" s="244">
        <v>120000</v>
      </c>
      <c r="D210" s="246">
        <v>66501.600000000006</v>
      </c>
      <c r="E210" s="245">
        <f t="shared" si="11"/>
        <v>55.417999999999999</v>
      </c>
      <c r="F210" s="119" t="s">
        <v>226</v>
      </c>
      <c r="G210" s="118" t="s">
        <v>33</v>
      </c>
      <c r="H210" s="31"/>
    </row>
    <row r="211" spans="1:8" s="35" customFormat="1" x14ac:dyDescent="0.2">
      <c r="A211" s="254" t="s">
        <v>293</v>
      </c>
      <c r="B211" s="253">
        <v>0</v>
      </c>
      <c r="C211" s="244">
        <v>200000</v>
      </c>
      <c r="D211" s="246">
        <v>192632</v>
      </c>
      <c r="E211" s="245">
        <f t="shared" si="11"/>
        <v>96.316000000000003</v>
      </c>
      <c r="F211" s="119" t="s">
        <v>227</v>
      </c>
      <c r="G211" s="118" t="s">
        <v>33</v>
      </c>
      <c r="H211" s="31"/>
    </row>
    <row r="212" spans="1:8" s="35" customFormat="1" ht="26.25" thickBot="1" x14ac:dyDescent="0.25">
      <c r="A212" s="255" t="s">
        <v>294</v>
      </c>
      <c r="B212" s="256">
        <v>0</v>
      </c>
      <c r="C212" s="249">
        <v>220000</v>
      </c>
      <c r="D212" s="250">
        <v>0</v>
      </c>
      <c r="E212" s="251">
        <f t="shared" si="11"/>
        <v>0</v>
      </c>
      <c r="F212" s="120" t="s">
        <v>228</v>
      </c>
      <c r="G212" s="146" t="s">
        <v>33</v>
      </c>
      <c r="H212" s="31"/>
    </row>
    <row r="213" spans="1:8" s="55" customFormat="1" ht="15.75" thickTop="1" x14ac:dyDescent="0.25">
      <c r="A213" s="39"/>
      <c r="B213" s="32"/>
      <c r="C213" s="5"/>
      <c r="D213" s="3"/>
      <c r="E213" s="40"/>
      <c r="F213" s="90"/>
      <c r="G213" s="54"/>
      <c r="H213" s="54"/>
    </row>
    <row r="214" spans="1:8" s="55" customFormat="1" ht="15.75" thickBot="1" x14ac:dyDescent="0.25">
      <c r="A214" s="58" t="s">
        <v>29</v>
      </c>
      <c r="B214" s="32"/>
      <c r="C214" s="5"/>
      <c r="D214" s="5"/>
      <c r="E214" s="40" t="s">
        <v>18</v>
      </c>
      <c r="F214" s="90"/>
      <c r="G214" s="54"/>
      <c r="H214" s="54"/>
    </row>
    <row r="215" spans="1:8" s="55" customFormat="1" ht="14.25" thickTop="1" thickBot="1" x14ac:dyDescent="0.25">
      <c r="A215" s="41" t="s">
        <v>5</v>
      </c>
      <c r="B215" s="42" t="s">
        <v>0</v>
      </c>
      <c r="C215" s="43" t="s">
        <v>1</v>
      </c>
      <c r="D215" s="44" t="s">
        <v>4</v>
      </c>
      <c r="E215" s="45" t="s">
        <v>6</v>
      </c>
      <c r="F215" s="90"/>
      <c r="G215" s="54"/>
      <c r="H215" s="54"/>
    </row>
    <row r="216" spans="1:8" s="55" customFormat="1" ht="15.75" thickTop="1" x14ac:dyDescent="0.2">
      <c r="A216" s="159" t="s">
        <v>9</v>
      </c>
      <c r="B216" s="114">
        <f>SUM(B217:B309)</f>
        <v>0</v>
      </c>
      <c r="C216" s="114">
        <f t="shared" ref="C216:D216" si="12">SUM(C217:C309)</f>
        <v>24143881.34</v>
      </c>
      <c r="D216" s="114">
        <f t="shared" si="12"/>
        <v>24143881.34</v>
      </c>
      <c r="E216" s="160">
        <f>D216/C216*100</f>
        <v>100</v>
      </c>
      <c r="G216" s="123"/>
      <c r="H216" s="54"/>
    </row>
    <row r="217" spans="1:8" s="55" customFormat="1" x14ac:dyDescent="0.2">
      <c r="A217" s="620" t="s">
        <v>194</v>
      </c>
      <c r="B217" s="621">
        <v>0</v>
      </c>
      <c r="C217" s="622">
        <v>100000</v>
      </c>
      <c r="D217" s="622">
        <v>100000</v>
      </c>
      <c r="E217" s="615">
        <f t="shared" ref="E217:E309" si="13">D217/C217*100</f>
        <v>100</v>
      </c>
      <c r="F217" s="121" t="s">
        <v>90</v>
      </c>
      <c r="G217" s="123" t="s">
        <v>546</v>
      </c>
      <c r="H217" s="54"/>
    </row>
    <row r="218" spans="1:8" s="55" customFormat="1" x14ac:dyDescent="0.2">
      <c r="A218" s="254" t="s">
        <v>501</v>
      </c>
      <c r="B218" s="520">
        <v>0</v>
      </c>
      <c r="C218" s="515">
        <v>444722</v>
      </c>
      <c r="D218" s="515">
        <v>444722</v>
      </c>
      <c r="E218" s="245">
        <f t="shared" si="13"/>
        <v>100</v>
      </c>
      <c r="F218" s="121" t="s">
        <v>90</v>
      </c>
      <c r="G218" s="123" t="s">
        <v>546</v>
      </c>
      <c r="H218" s="54"/>
    </row>
    <row r="219" spans="1:8" s="55" customFormat="1" ht="25.5" x14ac:dyDescent="0.2">
      <c r="A219" s="254" t="s">
        <v>502</v>
      </c>
      <c r="B219" s="520">
        <v>0</v>
      </c>
      <c r="C219" s="515">
        <v>100000</v>
      </c>
      <c r="D219" s="515">
        <v>100000</v>
      </c>
      <c r="E219" s="245">
        <f t="shared" si="13"/>
        <v>100</v>
      </c>
      <c r="F219" s="121" t="s">
        <v>91</v>
      </c>
      <c r="G219" s="123" t="s">
        <v>546</v>
      </c>
      <c r="H219" s="54"/>
    </row>
    <row r="220" spans="1:8" s="55" customFormat="1" ht="25.5" x14ac:dyDescent="0.2">
      <c r="A220" s="254" t="s">
        <v>503</v>
      </c>
      <c r="B220" s="520">
        <v>0</v>
      </c>
      <c r="C220" s="515">
        <v>199000</v>
      </c>
      <c r="D220" s="515">
        <v>199000</v>
      </c>
      <c r="E220" s="245">
        <f t="shared" si="13"/>
        <v>100</v>
      </c>
      <c r="F220" s="121" t="s">
        <v>92</v>
      </c>
      <c r="G220" s="123" t="s">
        <v>546</v>
      </c>
      <c r="H220" s="54"/>
    </row>
    <row r="221" spans="1:8" s="55" customFormat="1" ht="25.5" x14ac:dyDescent="0.2">
      <c r="A221" s="254" t="s">
        <v>504</v>
      </c>
      <c r="B221" s="520">
        <v>0</v>
      </c>
      <c r="C221" s="515">
        <v>100000</v>
      </c>
      <c r="D221" s="515">
        <v>100000</v>
      </c>
      <c r="E221" s="245">
        <f t="shared" si="13"/>
        <v>100</v>
      </c>
      <c r="F221" s="121" t="s">
        <v>92</v>
      </c>
      <c r="G221" s="123" t="s">
        <v>546</v>
      </c>
      <c r="H221" s="54"/>
    </row>
    <row r="222" spans="1:8" s="55" customFormat="1" ht="25.5" x14ac:dyDescent="0.2">
      <c r="A222" s="254" t="s">
        <v>505</v>
      </c>
      <c r="B222" s="520">
        <v>0</v>
      </c>
      <c r="C222" s="515">
        <v>281441</v>
      </c>
      <c r="D222" s="515">
        <v>281441</v>
      </c>
      <c r="E222" s="245">
        <f t="shared" si="13"/>
        <v>100</v>
      </c>
      <c r="F222" s="121" t="s">
        <v>92</v>
      </c>
      <c r="G222" s="123" t="s">
        <v>546</v>
      </c>
      <c r="H222" s="54"/>
    </row>
    <row r="223" spans="1:8" s="55" customFormat="1" ht="25.5" x14ac:dyDescent="0.2">
      <c r="A223" s="254" t="s">
        <v>506</v>
      </c>
      <c r="B223" s="520">
        <v>0</v>
      </c>
      <c r="C223" s="515">
        <v>200000</v>
      </c>
      <c r="D223" s="515">
        <v>200000</v>
      </c>
      <c r="E223" s="245">
        <f t="shared" si="13"/>
        <v>100</v>
      </c>
      <c r="F223" s="121" t="s">
        <v>92</v>
      </c>
      <c r="G223" s="123" t="s">
        <v>546</v>
      </c>
      <c r="H223" s="54"/>
    </row>
    <row r="224" spans="1:8" s="55" customFormat="1" ht="25.5" x14ac:dyDescent="0.2">
      <c r="A224" s="254" t="s">
        <v>507</v>
      </c>
      <c r="B224" s="520">
        <v>0</v>
      </c>
      <c r="C224" s="515">
        <v>100000</v>
      </c>
      <c r="D224" s="515">
        <v>100000</v>
      </c>
      <c r="E224" s="245">
        <f t="shared" si="13"/>
        <v>100</v>
      </c>
      <c r="F224" s="121" t="s">
        <v>92</v>
      </c>
      <c r="G224" s="123" t="s">
        <v>546</v>
      </c>
      <c r="H224" s="54"/>
    </row>
    <row r="225" spans="1:8" s="55" customFormat="1" ht="25.5" x14ac:dyDescent="0.2">
      <c r="A225" s="242" t="s">
        <v>508</v>
      </c>
      <c r="B225" s="520">
        <v>0</v>
      </c>
      <c r="C225" s="515">
        <v>210000</v>
      </c>
      <c r="D225" s="515">
        <v>210000</v>
      </c>
      <c r="E225" s="245">
        <f t="shared" si="13"/>
        <v>100</v>
      </c>
      <c r="F225" s="121" t="s">
        <v>92</v>
      </c>
      <c r="G225" s="123" t="s">
        <v>546</v>
      </c>
      <c r="H225" s="54"/>
    </row>
    <row r="226" spans="1:8" s="55" customFormat="1" ht="38.25" x14ac:dyDescent="0.2">
      <c r="A226" s="242" t="s">
        <v>509</v>
      </c>
      <c r="B226" s="520">
        <v>0</v>
      </c>
      <c r="C226" s="515">
        <v>120000</v>
      </c>
      <c r="D226" s="515">
        <v>120000</v>
      </c>
      <c r="E226" s="245">
        <f t="shared" si="13"/>
        <v>100</v>
      </c>
      <c r="F226" s="121" t="s">
        <v>195</v>
      </c>
      <c r="G226" s="123" t="s">
        <v>546</v>
      </c>
      <c r="H226" s="54"/>
    </row>
    <row r="227" spans="1:8" s="55" customFormat="1" ht="25.5" x14ac:dyDescent="0.2">
      <c r="A227" s="242" t="s">
        <v>510</v>
      </c>
      <c r="B227" s="520">
        <v>0</v>
      </c>
      <c r="C227" s="515">
        <v>179933</v>
      </c>
      <c r="D227" s="515">
        <v>179933</v>
      </c>
      <c r="E227" s="245">
        <f t="shared" si="13"/>
        <v>100</v>
      </c>
      <c r="F227" s="121" t="s">
        <v>196</v>
      </c>
      <c r="G227" s="123" t="s">
        <v>546</v>
      </c>
      <c r="H227" s="54"/>
    </row>
    <row r="228" spans="1:8" s="55" customFormat="1" ht="25.5" x14ac:dyDescent="0.2">
      <c r="A228" s="242" t="s">
        <v>511</v>
      </c>
      <c r="B228" s="520">
        <v>0</v>
      </c>
      <c r="C228" s="515">
        <v>181455</v>
      </c>
      <c r="D228" s="515">
        <v>181455</v>
      </c>
      <c r="E228" s="245">
        <f t="shared" si="13"/>
        <v>100</v>
      </c>
      <c r="F228" s="121" t="s">
        <v>197</v>
      </c>
      <c r="G228" s="123" t="s">
        <v>546</v>
      </c>
      <c r="H228" s="54"/>
    </row>
    <row r="229" spans="1:8" s="55" customFormat="1" ht="25.5" x14ac:dyDescent="0.2">
      <c r="A229" s="242" t="s">
        <v>512</v>
      </c>
      <c r="B229" s="520">
        <v>0</v>
      </c>
      <c r="C229" s="515">
        <v>297861</v>
      </c>
      <c r="D229" s="515">
        <v>297861</v>
      </c>
      <c r="E229" s="245">
        <f t="shared" si="13"/>
        <v>100</v>
      </c>
      <c r="F229" s="121" t="s">
        <v>93</v>
      </c>
      <c r="G229" s="123" t="s">
        <v>546</v>
      </c>
      <c r="H229" s="54"/>
    </row>
    <row r="230" spans="1:8" s="55" customFormat="1" ht="25.5" x14ac:dyDescent="0.2">
      <c r="A230" s="242" t="s">
        <v>513</v>
      </c>
      <c r="B230" s="520">
        <v>0</v>
      </c>
      <c r="C230" s="515">
        <v>259020</v>
      </c>
      <c r="D230" s="515">
        <v>259020</v>
      </c>
      <c r="E230" s="245">
        <f t="shared" si="13"/>
        <v>100</v>
      </c>
      <c r="F230" s="121" t="s">
        <v>93</v>
      </c>
      <c r="G230" s="123" t="s">
        <v>546</v>
      </c>
      <c r="H230" s="54"/>
    </row>
    <row r="231" spans="1:8" s="55" customFormat="1" x14ac:dyDescent="0.2">
      <c r="A231" s="242" t="s">
        <v>514</v>
      </c>
      <c r="B231" s="520">
        <v>0</v>
      </c>
      <c r="C231" s="515">
        <v>400000</v>
      </c>
      <c r="D231" s="515">
        <v>400000</v>
      </c>
      <c r="E231" s="245">
        <f t="shared" si="13"/>
        <v>100</v>
      </c>
      <c r="F231" s="121" t="s">
        <v>93</v>
      </c>
      <c r="G231" s="123" t="s">
        <v>546</v>
      </c>
      <c r="H231" s="54"/>
    </row>
    <row r="232" spans="1:8" s="55" customFormat="1" ht="25.5" x14ac:dyDescent="0.2">
      <c r="A232" s="242" t="s">
        <v>515</v>
      </c>
      <c r="B232" s="520">
        <v>0</v>
      </c>
      <c r="C232" s="515">
        <v>248459.8</v>
      </c>
      <c r="D232" s="515">
        <v>248459.8</v>
      </c>
      <c r="E232" s="245">
        <f t="shared" si="13"/>
        <v>100</v>
      </c>
      <c r="F232" s="121" t="s">
        <v>93</v>
      </c>
      <c r="G232" s="123" t="s">
        <v>546</v>
      </c>
      <c r="H232" s="54"/>
    </row>
    <row r="233" spans="1:8" s="55" customFormat="1" x14ac:dyDescent="0.2">
      <c r="A233" s="242" t="s">
        <v>516</v>
      </c>
      <c r="B233" s="520">
        <v>0</v>
      </c>
      <c r="C233" s="515">
        <v>209500</v>
      </c>
      <c r="D233" s="515">
        <v>209500</v>
      </c>
      <c r="E233" s="245">
        <f t="shared" si="13"/>
        <v>100</v>
      </c>
      <c r="F233" s="121" t="s">
        <v>94</v>
      </c>
      <c r="G233" s="123" t="s">
        <v>546</v>
      </c>
      <c r="H233" s="54"/>
    </row>
    <row r="234" spans="1:8" s="55" customFormat="1" x14ac:dyDescent="0.2">
      <c r="A234" s="242" t="s">
        <v>517</v>
      </c>
      <c r="B234" s="520">
        <v>0</v>
      </c>
      <c r="C234" s="515">
        <v>209500</v>
      </c>
      <c r="D234" s="515">
        <v>209500</v>
      </c>
      <c r="E234" s="245">
        <f t="shared" si="13"/>
        <v>100</v>
      </c>
      <c r="F234" s="121" t="s">
        <v>94</v>
      </c>
      <c r="G234" s="123" t="s">
        <v>546</v>
      </c>
      <c r="H234" s="54"/>
    </row>
    <row r="235" spans="1:8" s="55" customFormat="1" x14ac:dyDescent="0.2">
      <c r="A235" s="242" t="s">
        <v>518</v>
      </c>
      <c r="B235" s="520">
        <v>0</v>
      </c>
      <c r="C235" s="515">
        <v>175239.7</v>
      </c>
      <c r="D235" s="515">
        <v>175239.7</v>
      </c>
      <c r="E235" s="245">
        <f t="shared" si="13"/>
        <v>100</v>
      </c>
      <c r="F235" s="121" t="s">
        <v>94</v>
      </c>
      <c r="G235" s="123" t="s">
        <v>546</v>
      </c>
      <c r="H235" s="54"/>
    </row>
    <row r="236" spans="1:8" s="55" customFormat="1" x14ac:dyDescent="0.2">
      <c r="A236" s="242" t="s">
        <v>519</v>
      </c>
      <c r="B236" s="520">
        <v>0</v>
      </c>
      <c r="C236" s="515">
        <v>97461</v>
      </c>
      <c r="D236" s="515">
        <v>97461</v>
      </c>
      <c r="E236" s="245">
        <f t="shared" si="13"/>
        <v>100</v>
      </c>
      <c r="F236" s="121" t="s">
        <v>520</v>
      </c>
      <c r="G236" s="123" t="s">
        <v>546</v>
      </c>
      <c r="H236" s="54"/>
    </row>
    <row r="237" spans="1:8" s="55" customFormat="1" x14ac:dyDescent="0.2">
      <c r="A237" s="242" t="s">
        <v>521</v>
      </c>
      <c r="B237" s="520">
        <v>0</v>
      </c>
      <c r="C237" s="515">
        <v>28135</v>
      </c>
      <c r="D237" s="515">
        <v>28135</v>
      </c>
      <c r="E237" s="245">
        <f t="shared" si="13"/>
        <v>100</v>
      </c>
      <c r="F237" s="121" t="s">
        <v>522</v>
      </c>
      <c r="G237" s="123" t="s">
        <v>546</v>
      </c>
      <c r="H237" s="54"/>
    </row>
    <row r="238" spans="1:8" s="55" customFormat="1" ht="25.5" x14ac:dyDescent="0.2">
      <c r="A238" s="242" t="s">
        <v>523</v>
      </c>
      <c r="B238" s="520">
        <v>0</v>
      </c>
      <c r="C238" s="515">
        <v>468323</v>
      </c>
      <c r="D238" s="515">
        <v>468323</v>
      </c>
      <c r="E238" s="245">
        <f t="shared" si="13"/>
        <v>100</v>
      </c>
      <c r="F238" s="121" t="s">
        <v>95</v>
      </c>
      <c r="G238" s="123" t="s">
        <v>546</v>
      </c>
      <c r="H238" s="54"/>
    </row>
    <row r="239" spans="1:8" s="55" customFormat="1" ht="26.25" thickBot="1" x14ac:dyDescent="0.25">
      <c r="A239" s="516" t="s">
        <v>524</v>
      </c>
      <c r="B239" s="583">
        <v>0</v>
      </c>
      <c r="C239" s="517">
        <v>200000</v>
      </c>
      <c r="D239" s="517">
        <v>200000</v>
      </c>
      <c r="E239" s="251">
        <f t="shared" si="13"/>
        <v>100</v>
      </c>
      <c r="F239" s="121" t="s">
        <v>95</v>
      </c>
      <c r="G239" s="123" t="s">
        <v>546</v>
      </c>
      <c r="H239" s="54"/>
    </row>
    <row r="240" spans="1:8" s="55" customFormat="1" ht="13.5" thickTop="1" x14ac:dyDescent="0.2">
      <c r="A240" s="205"/>
      <c r="B240" s="206"/>
      <c r="C240" s="206"/>
      <c r="D240" s="206"/>
      <c r="E240" s="204"/>
      <c r="F240" s="121"/>
      <c r="G240" s="123"/>
      <c r="H240" s="54"/>
    </row>
    <row r="241" spans="1:8" s="55" customFormat="1" ht="15.75" thickBot="1" x14ac:dyDescent="0.25">
      <c r="A241" s="187"/>
      <c r="B241" s="581"/>
      <c r="C241" s="9"/>
      <c r="D241" s="9"/>
      <c r="E241" s="188" t="s">
        <v>18</v>
      </c>
      <c r="F241" s="121"/>
      <c r="G241" s="123"/>
      <c r="H241" s="54"/>
    </row>
    <row r="242" spans="1:8" s="55" customFormat="1" ht="14.25" thickTop="1" thickBot="1" x14ac:dyDescent="0.25">
      <c r="A242" s="41" t="s">
        <v>5</v>
      </c>
      <c r="B242" s="42" t="s">
        <v>0</v>
      </c>
      <c r="C242" s="43" t="s">
        <v>1</v>
      </c>
      <c r="D242" s="44" t="s">
        <v>4</v>
      </c>
      <c r="E242" s="45" t="s">
        <v>6</v>
      </c>
      <c r="F242" s="121"/>
      <c r="G242" s="123"/>
      <c r="H242" s="54"/>
    </row>
    <row r="243" spans="1:8" s="55" customFormat="1" ht="26.25" thickTop="1" x14ac:dyDescent="0.2">
      <c r="A243" s="518" t="s">
        <v>525</v>
      </c>
      <c r="B243" s="584">
        <v>0</v>
      </c>
      <c r="C243" s="519">
        <v>499155</v>
      </c>
      <c r="D243" s="519">
        <v>499155</v>
      </c>
      <c r="E243" s="514">
        <f>D243/C243*100</f>
        <v>100</v>
      </c>
      <c r="F243" s="121" t="s">
        <v>95</v>
      </c>
      <c r="G243" s="123" t="s">
        <v>546</v>
      </c>
      <c r="H243" s="54"/>
    </row>
    <row r="244" spans="1:8" s="55" customFormat="1" ht="25.5" x14ac:dyDescent="0.2">
      <c r="A244" s="242" t="s">
        <v>526</v>
      </c>
      <c r="B244" s="520">
        <v>0</v>
      </c>
      <c r="C244" s="515">
        <v>241485</v>
      </c>
      <c r="D244" s="515">
        <v>241485</v>
      </c>
      <c r="E244" s="245">
        <f>D244/C244*100</f>
        <v>100</v>
      </c>
      <c r="F244" s="121" t="s">
        <v>95</v>
      </c>
      <c r="G244" s="123" t="s">
        <v>546</v>
      </c>
      <c r="H244" s="54"/>
    </row>
    <row r="245" spans="1:8" s="55" customFormat="1" ht="25.5" x14ac:dyDescent="0.2">
      <c r="A245" s="242" t="s">
        <v>527</v>
      </c>
      <c r="B245" s="520">
        <v>0</v>
      </c>
      <c r="C245" s="515">
        <v>200000</v>
      </c>
      <c r="D245" s="515">
        <v>200000</v>
      </c>
      <c r="E245" s="245">
        <f t="shared" si="13"/>
        <v>100</v>
      </c>
      <c r="F245" s="121" t="s">
        <v>198</v>
      </c>
      <c r="G245" s="123" t="s">
        <v>546</v>
      </c>
      <c r="H245" s="54"/>
    </row>
    <row r="246" spans="1:8" s="55" customFormat="1" x14ac:dyDescent="0.2">
      <c r="A246" s="242" t="s">
        <v>528</v>
      </c>
      <c r="B246" s="520">
        <v>0</v>
      </c>
      <c r="C246" s="515">
        <v>199049</v>
      </c>
      <c r="D246" s="515">
        <v>199049</v>
      </c>
      <c r="E246" s="245">
        <f t="shared" si="13"/>
        <v>100</v>
      </c>
      <c r="F246" s="121" t="s">
        <v>198</v>
      </c>
      <c r="G246" s="123" t="s">
        <v>546</v>
      </c>
      <c r="H246" s="54"/>
    </row>
    <row r="247" spans="1:8" s="55" customFormat="1" x14ac:dyDescent="0.2">
      <c r="A247" s="242" t="s">
        <v>529</v>
      </c>
      <c r="B247" s="520">
        <v>0</v>
      </c>
      <c r="C247" s="515">
        <v>171632</v>
      </c>
      <c r="D247" s="515">
        <v>171632</v>
      </c>
      <c r="E247" s="245">
        <f t="shared" si="13"/>
        <v>100</v>
      </c>
      <c r="F247" s="121" t="s">
        <v>198</v>
      </c>
      <c r="G247" s="123" t="s">
        <v>546</v>
      </c>
      <c r="H247" s="54"/>
    </row>
    <row r="248" spans="1:8" s="55" customFormat="1" x14ac:dyDescent="0.2">
      <c r="A248" s="242" t="s">
        <v>530</v>
      </c>
      <c r="B248" s="520">
        <v>0</v>
      </c>
      <c r="C248" s="515">
        <v>197213</v>
      </c>
      <c r="D248" s="515">
        <v>197213</v>
      </c>
      <c r="E248" s="245">
        <f t="shared" si="13"/>
        <v>100</v>
      </c>
      <c r="F248" s="121" t="s">
        <v>198</v>
      </c>
      <c r="G248" s="123" t="s">
        <v>546</v>
      </c>
      <c r="H248" s="54"/>
    </row>
    <row r="249" spans="1:8" s="55" customFormat="1" ht="25.5" x14ac:dyDescent="0.2">
      <c r="A249" s="242" t="s">
        <v>531</v>
      </c>
      <c r="B249" s="520">
        <v>0</v>
      </c>
      <c r="C249" s="515">
        <v>119915</v>
      </c>
      <c r="D249" s="515">
        <v>119915</v>
      </c>
      <c r="E249" s="245">
        <f t="shared" si="13"/>
        <v>100</v>
      </c>
      <c r="F249" s="121" t="s">
        <v>532</v>
      </c>
      <c r="G249" s="123" t="s">
        <v>546</v>
      </c>
      <c r="H249" s="54"/>
    </row>
    <row r="250" spans="1:8" s="55" customFormat="1" x14ac:dyDescent="0.2">
      <c r="A250" s="242" t="s">
        <v>533</v>
      </c>
      <c r="B250" s="520">
        <v>0</v>
      </c>
      <c r="C250" s="515">
        <v>247445</v>
      </c>
      <c r="D250" s="515">
        <v>247445</v>
      </c>
      <c r="E250" s="245">
        <f t="shared" si="13"/>
        <v>100</v>
      </c>
      <c r="F250" s="121" t="s">
        <v>199</v>
      </c>
      <c r="G250" s="123" t="s">
        <v>546</v>
      </c>
      <c r="H250" s="54"/>
    </row>
    <row r="251" spans="1:8" s="55" customFormat="1" x14ac:dyDescent="0.2">
      <c r="A251" s="242" t="s">
        <v>200</v>
      </c>
      <c r="B251" s="520">
        <v>0</v>
      </c>
      <c r="C251" s="515">
        <v>100000</v>
      </c>
      <c r="D251" s="515">
        <v>100000</v>
      </c>
      <c r="E251" s="245">
        <f t="shared" si="13"/>
        <v>100</v>
      </c>
      <c r="F251" s="121" t="s">
        <v>201</v>
      </c>
      <c r="G251" s="123" t="s">
        <v>546</v>
      </c>
      <c r="H251" s="54"/>
    </row>
    <row r="252" spans="1:8" s="55" customFormat="1" x14ac:dyDescent="0.2">
      <c r="A252" s="242" t="s">
        <v>202</v>
      </c>
      <c r="B252" s="520">
        <v>0</v>
      </c>
      <c r="C252" s="515">
        <v>99999</v>
      </c>
      <c r="D252" s="515">
        <v>99999</v>
      </c>
      <c r="E252" s="245">
        <f t="shared" si="13"/>
        <v>100</v>
      </c>
      <c r="F252" s="121" t="s">
        <v>201</v>
      </c>
      <c r="G252" s="123" t="s">
        <v>546</v>
      </c>
      <c r="H252" s="54"/>
    </row>
    <row r="253" spans="1:8" s="55" customFormat="1" ht="25.5" x14ac:dyDescent="0.2">
      <c r="A253" s="242" t="s">
        <v>534</v>
      </c>
      <c r="B253" s="520">
        <v>0</v>
      </c>
      <c r="C253" s="515">
        <v>150000</v>
      </c>
      <c r="D253" s="515">
        <v>150000</v>
      </c>
      <c r="E253" s="245">
        <f t="shared" si="13"/>
        <v>100</v>
      </c>
      <c r="F253" s="121" t="s">
        <v>203</v>
      </c>
      <c r="G253" s="123" t="s">
        <v>546</v>
      </c>
      <c r="H253" s="54"/>
    </row>
    <row r="254" spans="1:8" s="55" customFormat="1" ht="25.5" x14ac:dyDescent="0.2">
      <c r="A254" s="242" t="s">
        <v>535</v>
      </c>
      <c r="B254" s="520">
        <v>0</v>
      </c>
      <c r="C254" s="515">
        <v>223000</v>
      </c>
      <c r="D254" s="515">
        <v>223000</v>
      </c>
      <c r="E254" s="245">
        <f t="shared" si="13"/>
        <v>100</v>
      </c>
      <c r="F254" s="121" t="s">
        <v>203</v>
      </c>
      <c r="G254" s="123" t="s">
        <v>546</v>
      </c>
      <c r="H254" s="54"/>
    </row>
    <row r="255" spans="1:8" s="55" customFormat="1" x14ac:dyDescent="0.2">
      <c r="A255" s="242" t="s">
        <v>536</v>
      </c>
      <c r="B255" s="520">
        <v>0</v>
      </c>
      <c r="C255" s="515">
        <v>250000</v>
      </c>
      <c r="D255" s="515">
        <v>250000</v>
      </c>
      <c r="E255" s="245">
        <f t="shared" si="13"/>
        <v>100</v>
      </c>
      <c r="F255" s="121" t="s">
        <v>203</v>
      </c>
      <c r="G255" s="123" t="s">
        <v>546</v>
      </c>
      <c r="H255" s="54"/>
    </row>
    <row r="256" spans="1:8" s="55" customFormat="1" x14ac:dyDescent="0.2">
      <c r="A256" s="242" t="s">
        <v>537</v>
      </c>
      <c r="B256" s="520">
        <v>0</v>
      </c>
      <c r="C256" s="515">
        <v>98971</v>
      </c>
      <c r="D256" s="515">
        <v>98971</v>
      </c>
      <c r="E256" s="245">
        <f t="shared" si="13"/>
        <v>100</v>
      </c>
      <c r="F256" s="121" t="s">
        <v>203</v>
      </c>
      <c r="G256" s="123" t="s">
        <v>546</v>
      </c>
      <c r="H256" s="54"/>
    </row>
    <row r="257" spans="1:8" s="55" customFormat="1" x14ac:dyDescent="0.2">
      <c r="A257" s="242" t="s">
        <v>605</v>
      </c>
      <c r="B257" s="520">
        <v>0</v>
      </c>
      <c r="C257" s="515">
        <v>149454</v>
      </c>
      <c r="D257" s="515">
        <v>149454</v>
      </c>
      <c r="E257" s="245">
        <f t="shared" si="13"/>
        <v>100</v>
      </c>
      <c r="F257" s="121" t="s">
        <v>90</v>
      </c>
      <c r="G257" s="123" t="s">
        <v>604</v>
      </c>
      <c r="H257" s="54"/>
    </row>
    <row r="258" spans="1:8" s="55" customFormat="1" x14ac:dyDescent="0.2">
      <c r="A258" s="242" t="s">
        <v>606</v>
      </c>
      <c r="B258" s="520">
        <v>0</v>
      </c>
      <c r="C258" s="515">
        <v>19490</v>
      </c>
      <c r="D258" s="515">
        <v>19490</v>
      </c>
      <c r="E258" s="245">
        <f t="shared" si="13"/>
        <v>100</v>
      </c>
      <c r="F258" s="121" t="s">
        <v>607</v>
      </c>
      <c r="G258" s="123" t="s">
        <v>604</v>
      </c>
      <c r="H258" s="54"/>
    </row>
    <row r="259" spans="1:8" s="55" customFormat="1" ht="12.75" customHeight="1" x14ac:dyDescent="0.2">
      <c r="A259" s="242" t="s">
        <v>608</v>
      </c>
      <c r="B259" s="520">
        <v>0</v>
      </c>
      <c r="C259" s="515">
        <v>198803</v>
      </c>
      <c r="D259" s="515">
        <v>198803</v>
      </c>
      <c r="E259" s="245">
        <f t="shared" si="13"/>
        <v>100</v>
      </c>
      <c r="F259" s="121" t="s">
        <v>91</v>
      </c>
      <c r="G259" s="123" t="s">
        <v>604</v>
      </c>
      <c r="H259" s="54"/>
    </row>
    <row r="260" spans="1:8" s="55" customFormat="1" x14ac:dyDescent="0.2">
      <c r="A260" s="242" t="s">
        <v>609</v>
      </c>
      <c r="B260" s="520">
        <v>0</v>
      </c>
      <c r="C260" s="515">
        <v>274750</v>
      </c>
      <c r="D260" s="515">
        <v>274750</v>
      </c>
      <c r="E260" s="245">
        <f t="shared" si="13"/>
        <v>100</v>
      </c>
      <c r="F260" s="121" t="s">
        <v>91</v>
      </c>
      <c r="G260" s="123" t="s">
        <v>604</v>
      </c>
      <c r="H260" s="54"/>
    </row>
    <row r="261" spans="1:8" s="55" customFormat="1" x14ac:dyDescent="0.2">
      <c r="A261" s="242" t="s">
        <v>610</v>
      </c>
      <c r="B261" s="520">
        <v>0</v>
      </c>
      <c r="C261" s="515">
        <v>148830</v>
      </c>
      <c r="D261" s="515">
        <v>148830</v>
      </c>
      <c r="E261" s="245">
        <f t="shared" si="13"/>
        <v>100</v>
      </c>
      <c r="F261" s="121" t="s">
        <v>611</v>
      </c>
      <c r="G261" s="123" t="s">
        <v>604</v>
      </c>
      <c r="H261" s="54"/>
    </row>
    <row r="262" spans="1:8" s="55" customFormat="1" ht="25.5" x14ac:dyDescent="0.2">
      <c r="A262" s="242" t="s">
        <v>612</v>
      </c>
      <c r="B262" s="520">
        <v>0</v>
      </c>
      <c r="C262" s="515">
        <v>1423700</v>
      </c>
      <c r="D262" s="515">
        <v>1423700</v>
      </c>
      <c r="E262" s="245">
        <f t="shared" si="13"/>
        <v>100</v>
      </c>
      <c r="F262" s="121" t="s">
        <v>92</v>
      </c>
      <c r="G262" s="123" t="s">
        <v>604</v>
      </c>
      <c r="H262" s="54"/>
    </row>
    <row r="263" spans="1:8" s="55" customFormat="1" ht="25.5" x14ac:dyDescent="0.2">
      <c r="A263" s="242" t="s">
        <v>613</v>
      </c>
      <c r="B263" s="520">
        <v>0</v>
      </c>
      <c r="C263" s="515">
        <v>1338836</v>
      </c>
      <c r="D263" s="515">
        <v>1338836</v>
      </c>
      <c r="E263" s="245">
        <f t="shared" si="13"/>
        <v>100</v>
      </c>
      <c r="F263" s="121" t="s">
        <v>92</v>
      </c>
      <c r="G263" s="123" t="s">
        <v>604</v>
      </c>
      <c r="H263" s="54"/>
    </row>
    <row r="264" spans="1:8" s="55" customFormat="1" ht="25.5" x14ac:dyDescent="0.2">
      <c r="A264" s="242" t="s">
        <v>614</v>
      </c>
      <c r="B264" s="520">
        <v>0</v>
      </c>
      <c r="C264" s="515">
        <v>111518</v>
      </c>
      <c r="D264" s="515">
        <v>111518</v>
      </c>
      <c r="E264" s="245">
        <f t="shared" si="13"/>
        <v>100</v>
      </c>
      <c r="F264" s="121" t="s">
        <v>92</v>
      </c>
      <c r="G264" s="123" t="s">
        <v>604</v>
      </c>
      <c r="H264" s="54"/>
    </row>
    <row r="265" spans="1:8" s="55" customFormat="1" ht="25.5" x14ac:dyDescent="0.2">
      <c r="A265" s="242" t="s">
        <v>615</v>
      </c>
      <c r="B265" s="520">
        <v>0</v>
      </c>
      <c r="C265" s="515">
        <v>241710</v>
      </c>
      <c r="D265" s="515">
        <v>241710</v>
      </c>
      <c r="E265" s="245">
        <f t="shared" si="13"/>
        <v>100</v>
      </c>
      <c r="F265" s="121" t="s">
        <v>92</v>
      </c>
      <c r="G265" s="123" t="s">
        <v>604</v>
      </c>
      <c r="H265" s="54"/>
    </row>
    <row r="266" spans="1:8" s="55" customFormat="1" x14ac:dyDescent="0.2">
      <c r="A266" s="242" t="s">
        <v>616</v>
      </c>
      <c r="B266" s="520">
        <v>0</v>
      </c>
      <c r="C266" s="515">
        <v>149780</v>
      </c>
      <c r="D266" s="515">
        <v>149780</v>
      </c>
      <c r="E266" s="245">
        <f t="shared" si="13"/>
        <v>100</v>
      </c>
      <c r="F266" s="121" t="s">
        <v>92</v>
      </c>
      <c r="G266" s="123" t="s">
        <v>604</v>
      </c>
      <c r="H266" s="54"/>
    </row>
    <row r="267" spans="1:8" s="55" customFormat="1" x14ac:dyDescent="0.2">
      <c r="A267" s="242" t="s">
        <v>617</v>
      </c>
      <c r="B267" s="520">
        <v>0</v>
      </c>
      <c r="C267" s="515">
        <v>299966</v>
      </c>
      <c r="D267" s="515">
        <v>299966</v>
      </c>
      <c r="E267" s="245">
        <f t="shared" si="13"/>
        <v>100</v>
      </c>
      <c r="F267" s="121" t="s">
        <v>92</v>
      </c>
      <c r="G267" s="123" t="s">
        <v>604</v>
      </c>
      <c r="H267" s="54"/>
    </row>
    <row r="268" spans="1:8" s="55" customFormat="1" ht="25.5" x14ac:dyDescent="0.2">
      <c r="A268" s="242" t="s">
        <v>618</v>
      </c>
      <c r="B268" s="520">
        <v>0</v>
      </c>
      <c r="C268" s="515">
        <v>399303</v>
      </c>
      <c r="D268" s="515">
        <v>399303</v>
      </c>
      <c r="E268" s="245">
        <f t="shared" si="13"/>
        <v>100</v>
      </c>
      <c r="F268" s="121" t="s">
        <v>195</v>
      </c>
      <c r="G268" s="123" t="s">
        <v>604</v>
      </c>
      <c r="H268" s="54"/>
    </row>
    <row r="269" spans="1:8" s="55" customFormat="1" ht="25.5" x14ac:dyDescent="0.2">
      <c r="A269" s="242" t="s">
        <v>619</v>
      </c>
      <c r="B269" s="520">
        <v>0</v>
      </c>
      <c r="C269" s="515">
        <v>59532</v>
      </c>
      <c r="D269" s="515">
        <v>59532</v>
      </c>
      <c r="E269" s="245">
        <f t="shared" si="13"/>
        <v>100</v>
      </c>
      <c r="F269" s="121" t="s">
        <v>195</v>
      </c>
      <c r="G269" s="123" t="s">
        <v>604</v>
      </c>
      <c r="H269" s="54"/>
    </row>
    <row r="270" spans="1:8" s="55" customFormat="1" ht="25.5" x14ac:dyDescent="0.2">
      <c r="A270" s="242" t="s">
        <v>620</v>
      </c>
      <c r="B270" s="520">
        <v>0</v>
      </c>
      <c r="C270" s="515">
        <v>99877</v>
      </c>
      <c r="D270" s="515">
        <v>99877</v>
      </c>
      <c r="E270" s="245">
        <f t="shared" si="13"/>
        <v>100</v>
      </c>
      <c r="F270" s="121" t="s">
        <v>621</v>
      </c>
      <c r="G270" s="123" t="s">
        <v>604</v>
      </c>
      <c r="H270" s="54"/>
    </row>
    <row r="271" spans="1:8" s="55" customFormat="1" x14ac:dyDescent="0.2">
      <c r="A271" s="242" t="s">
        <v>622</v>
      </c>
      <c r="B271" s="520">
        <v>0</v>
      </c>
      <c r="C271" s="515">
        <v>749306</v>
      </c>
      <c r="D271" s="515">
        <v>749306</v>
      </c>
      <c r="E271" s="245">
        <f t="shared" si="13"/>
        <v>100</v>
      </c>
      <c r="F271" s="121" t="s">
        <v>196</v>
      </c>
      <c r="G271" s="123" t="s">
        <v>604</v>
      </c>
      <c r="H271" s="54"/>
    </row>
    <row r="272" spans="1:8" s="55" customFormat="1" x14ac:dyDescent="0.2">
      <c r="A272" s="242" t="s">
        <v>623</v>
      </c>
      <c r="B272" s="520">
        <v>0</v>
      </c>
      <c r="C272" s="515">
        <v>167900</v>
      </c>
      <c r="D272" s="515">
        <v>167900</v>
      </c>
      <c r="E272" s="245">
        <f t="shared" si="13"/>
        <v>100</v>
      </c>
      <c r="F272" s="121" t="s">
        <v>196</v>
      </c>
      <c r="G272" s="123" t="s">
        <v>604</v>
      </c>
      <c r="H272" s="54"/>
    </row>
    <row r="273" spans="1:8" s="55" customFormat="1" x14ac:dyDescent="0.2">
      <c r="A273" s="242" t="s">
        <v>624</v>
      </c>
      <c r="B273" s="520">
        <v>0</v>
      </c>
      <c r="C273" s="515">
        <v>89440</v>
      </c>
      <c r="D273" s="515">
        <v>89440</v>
      </c>
      <c r="E273" s="245">
        <f t="shared" si="13"/>
        <v>100</v>
      </c>
      <c r="F273" s="121" t="s">
        <v>196</v>
      </c>
      <c r="G273" s="123" t="s">
        <v>604</v>
      </c>
      <c r="H273" s="54"/>
    </row>
    <row r="274" spans="1:8" s="55" customFormat="1" ht="25.5" x14ac:dyDescent="0.2">
      <c r="A274" s="242" t="s">
        <v>625</v>
      </c>
      <c r="B274" s="520">
        <v>0</v>
      </c>
      <c r="C274" s="515">
        <v>119814</v>
      </c>
      <c r="D274" s="515">
        <v>119814</v>
      </c>
      <c r="E274" s="245">
        <f t="shared" si="13"/>
        <v>100</v>
      </c>
      <c r="F274" s="121" t="s">
        <v>196</v>
      </c>
      <c r="G274" s="123" t="s">
        <v>604</v>
      </c>
      <c r="H274" s="54"/>
    </row>
    <row r="275" spans="1:8" s="55" customFormat="1" x14ac:dyDescent="0.2">
      <c r="A275" s="242" t="s">
        <v>626</v>
      </c>
      <c r="B275" s="520">
        <v>0</v>
      </c>
      <c r="C275" s="515">
        <v>247800</v>
      </c>
      <c r="D275" s="515">
        <v>247800</v>
      </c>
      <c r="E275" s="245">
        <f t="shared" si="13"/>
        <v>100</v>
      </c>
      <c r="F275" s="121" t="s">
        <v>627</v>
      </c>
      <c r="G275" s="123" t="s">
        <v>604</v>
      </c>
      <c r="H275" s="54"/>
    </row>
    <row r="276" spans="1:8" s="55" customFormat="1" x14ac:dyDescent="0.2">
      <c r="A276" s="242" t="s">
        <v>628</v>
      </c>
      <c r="B276" s="520">
        <v>0</v>
      </c>
      <c r="C276" s="515">
        <v>108000</v>
      </c>
      <c r="D276" s="515">
        <v>108000</v>
      </c>
      <c r="E276" s="245">
        <f t="shared" si="13"/>
        <v>100</v>
      </c>
      <c r="F276" s="121" t="s">
        <v>627</v>
      </c>
      <c r="G276" s="123" t="s">
        <v>604</v>
      </c>
      <c r="H276" s="54"/>
    </row>
    <row r="277" spans="1:8" s="55" customFormat="1" x14ac:dyDescent="0.2">
      <c r="A277" s="242" t="s">
        <v>629</v>
      </c>
      <c r="B277" s="520">
        <v>0</v>
      </c>
      <c r="C277" s="515">
        <v>448500</v>
      </c>
      <c r="D277" s="515">
        <v>448500</v>
      </c>
      <c r="E277" s="245">
        <f t="shared" si="13"/>
        <v>100</v>
      </c>
      <c r="F277" s="121" t="s">
        <v>93</v>
      </c>
      <c r="G277" s="123" t="s">
        <v>604</v>
      </c>
      <c r="H277" s="54"/>
    </row>
    <row r="278" spans="1:8" s="55" customFormat="1" ht="25.5" x14ac:dyDescent="0.2">
      <c r="A278" s="242" t="s">
        <v>630</v>
      </c>
      <c r="B278" s="520">
        <v>0</v>
      </c>
      <c r="C278" s="515">
        <v>1244898</v>
      </c>
      <c r="D278" s="515">
        <v>1244898</v>
      </c>
      <c r="E278" s="245">
        <f t="shared" si="13"/>
        <v>100</v>
      </c>
      <c r="F278" s="121" t="s">
        <v>93</v>
      </c>
      <c r="G278" s="123" t="s">
        <v>604</v>
      </c>
      <c r="H278" s="54"/>
    </row>
    <row r="279" spans="1:8" s="55" customFormat="1" ht="25.5" x14ac:dyDescent="0.2">
      <c r="A279" s="242" t="s">
        <v>631</v>
      </c>
      <c r="B279" s="520">
        <v>0</v>
      </c>
      <c r="C279" s="515">
        <v>320800</v>
      </c>
      <c r="D279" s="515">
        <v>320800</v>
      </c>
      <c r="E279" s="245">
        <f t="shared" si="13"/>
        <v>100</v>
      </c>
      <c r="F279" s="121" t="s">
        <v>93</v>
      </c>
      <c r="G279" s="123" t="s">
        <v>604</v>
      </c>
      <c r="H279" s="54"/>
    </row>
    <row r="280" spans="1:8" s="55" customFormat="1" ht="25.5" x14ac:dyDescent="0.2">
      <c r="A280" s="242" t="s">
        <v>632</v>
      </c>
      <c r="B280" s="520">
        <v>0</v>
      </c>
      <c r="C280" s="515">
        <v>613410</v>
      </c>
      <c r="D280" s="515">
        <v>613410</v>
      </c>
      <c r="E280" s="245">
        <f t="shared" si="13"/>
        <v>100</v>
      </c>
      <c r="F280" s="121" t="s">
        <v>93</v>
      </c>
      <c r="G280" s="123" t="s">
        <v>604</v>
      </c>
      <c r="H280" s="54"/>
    </row>
    <row r="281" spans="1:8" s="55" customFormat="1" x14ac:dyDescent="0.2">
      <c r="A281" s="242" t="s">
        <v>633</v>
      </c>
      <c r="B281" s="520">
        <v>0</v>
      </c>
      <c r="C281" s="515">
        <v>135700</v>
      </c>
      <c r="D281" s="515">
        <v>135700</v>
      </c>
      <c r="E281" s="245">
        <f t="shared" si="13"/>
        <v>100</v>
      </c>
      <c r="F281" s="121" t="s">
        <v>634</v>
      </c>
      <c r="G281" s="123" t="s">
        <v>604</v>
      </c>
      <c r="H281" s="54"/>
    </row>
    <row r="282" spans="1:8" s="55" customFormat="1" ht="25.5" x14ac:dyDescent="0.2">
      <c r="A282" s="242" t="s">
        <v>635</v>
      </c>
      <c r="B282" s="520">
        <v>0</v>
      </c>
      <c r="C282" s="515">
        <v>177221</v>
      </c>
      <c r="D282" s="515">
        <v>177221</v>
      </c>
      <c r="E282" s="245">
        <f t="shared" si="13"/>
        <v>100</v>
      </c>
      <c r="F282" s="121" t="s">
        <v>634</v>
      </c>
      <c r="G282" s="123" t="s">
        <v>604</v>
      </c>
      <c r="H282" s="54"/>
    </row>
    <row r="283" spans="1:8" s="55" customFormat="1" x14ac:dyDescent="0.2">
      <c r="A283" s="242" t="s">
        <v>636</v>
      </c>
      <c r="B283" s="520">
        <v>0</v>
      </c>
      <c r="C283" s="515">
        <v>145057</v>
      </c>
      <c r="D283" s="515">
        <v>145057</v>
      </c>
      <c r="E283" s="245">
        <f t="shared" si="13"/>
        <v>100</v>
      </c>
      <c r="F283" s="121" t="s">
        <v>634</v>
      </c>
      <c r="G283" s="123" t="s">
        <v>604</v>
      </c>
      <c r="H283" s="54"/>
    </row>
    <row r="284" spans="1:8" s="55" customFormat="1" x14ac:dyDescent="0.2">
      <c r="A284" s="242" t="s">
        <v>637</v>
      </c>
      <c r="B284" s="520">
        <v>0</v>
      </c>
      <c r="C284" s="515">
        <v>1064639</v>
      </c>
      <c r="D284" s="515">
        <v>1064639</v>
      </c>
      <c r="E284" s="245">
        <f t="shared" si="13"/>
        <v>100</v>
      </c>
      <c r="F284" s="121" t="s">
        <v>94</v>
      </c>
      <c r="G284" s="123" t="s">
        <v>604</v>
      </c>
      <c r="H284" s="54"/>
    </row>
    <row r="285" spans="1:8" s="55" customFormat="1" x14ac:dyDescent="0.2">
      <c r="A285" s="242" t="s">
        <v>638</v>
      </c>
      <c r="B285" s="520">
        <v>0</v>
      </c>
      <c r="C285" s="515">
        <v>75383</v>
      </c>
      <c r="D285" s="515">
        <v>75383</v>
      </c>
      <c r="E285" s="245">
        <f t="shared" si="13"/>
        <v>100</v>
      </c>
      <c r="F285" s="121" t="s">
        <v>639</v>
      </c>
      <c r="G285" s="123" t="s">
        <v>604</v>
      </c>
      <c r="H285" s="54"/>
    </row>
    <row r="286" spans="1:8" s="55" customFormat="1" ht="25.5" x14ac:dyDescent="0.2">
      <c r="A286" s="242" t="s">
        <v>640</v>
      </c>
      <c r="B286" s="520">
        <v>0</v>
      </c>
      <c r="C286" s="515">
        <v>196000</v>
      </c>
      <c r="D286" s="515">
        <v>196000</v>
      </c>
      <c r="E286" s="245">
        <f t="shared" si="13"/>
        <v>100</v>
      </c>
      <c r="F286" s="121" t="s">
        <v>639</v>
      </c>
      <c r="G286" s="123" t="s">
        <v>604</v>
      </c>
      <c r="H286" s="54"/>
    </row>
    <row r="287" spans="1:8" s="55" customFormat="1" ht="25.5" x14ac:dyDescent="0.2">
      <c r="A287" s="242" t="s">
        <v>641</v>
      </c>
      <c r="B287" s="520">
        <v>0</v>
      </c>
      <c r="C287" s="515">
        <v>42350</v>
      </c>
      <c r="D287" s="515">
        <v>42350</v>
      </c>
      <c r="E287" s="245">
        <f t="shared" si="13"/>
        <v>100</v>
      </c>
      <c r="F287" s="121" t="s">
        <v>639</v>
      </c>
      <c r="G287" s="123" t="s">
        <v>604</v>
      </c>
      <c r="H287" s="54"/>
    </row>
    <row r="288" spans="1:8" s="55" customFormat="1" x14ac:dyDescent="0.2">
      <c r="A288" s="242" t="s">
        <v>642</v>
      </c>
      <c r="B288" s="520">
        <v>0</v>
      </c>
      <c r="C288" s="515">
        <v>117514</v>
      </c>
      <c r="D288" s="515">
        <v>117514</v>
      </c>
      <c r="E288" s="245">
        <f t="shared" si="13"/>
        <v>100</v>
      </c>
      <c r="F288" s="121" t="s">
        <v>522</v>
      </c>
      <c r="G288" s="123" t="s">
        <v>604</v>
      </c>
      <c r="H288" s="54"/>
    </row>
    <row r="289" spans="1:8" s="55" customFormat="1" ht="13.5" thickBot="1" x14ac:dyDescent="0.25">
      <c r="A289" s="516" t="s">
        <v>643</v>
      </c>
      <c r="B289" s="583">
        <v>0</v>
      </c>
      <c r="C289" s="517">
        <v>316900</v>
      </c>
      <c r="D289" s="517">
        <v>316900</v>
      </c>
      <c r="E289" s="251">
        <f t="shared" si="13"/>
        <v>100</v>
      </c>
      <c r="F289" s="121" t="s">
        <v>644</v>
      </c>
      <c r="G289" s="123" t="s">
        <v>604</v>
      </c>
      <c r="H289" s="54"/>
    </row>
    <row r="290" spans="1:8" s="55" customFormat="1" ht="13.5" thickTop="1" x14ac:dyDescent="0.2">
      <c r="A290" s="195"/>
      <c r="B290" s="196"/>
      <c r="C290" s="196"/>
      <c r="D290" s="196"/>
      <c r="E290" s="53"/>
      <c r="F290" s="121"/>
      <c r="G290" s="123"/>
      <c r="H290" s="54"/>
    </row>
    <row r="291" spans="1:8" s="55" customFormat="1" ht="15.75" thickBot="1" x14ac:dyDescent="0.25">
      <c r="A291" s="187"/>
      <c r="B291" s="581"/>
      <c r="C291" s="9"/>
      <c r="D291" s="9"/>
      <c r="E291" s="188" t="s">
        <v>18</v>
      </c>
      <c r="F291" s="121"/>
      <c r="G291" s="123"/>
      <c r="H291" s="54"/>
    </row>
    <row r="292" spans="1:8" s="55" customFormat="1" ht="14.25" thickTop="1" thickBot="1" x14ac:dyDescent="0.25">
      <c r="A292" s="41" t="s">
        <v>5</v>
      </c>
      <c r="B292" s="42" t="s">
        <v>0</v>
      </c>
      <c r="C292" s="43" t="s">
        <v>1</v>
      </c>
      <c r="D292" s="44" t="s">
        <v>4</v>
      </c>
      <c r="E292" s="45" t="s">
        <v>6</v>
      </c>
      <c r="F292" s="121"/>
      <c r="G292" s="123"/>
      <c r="H292" s="54"/>
    </row>
    <row r="293" spans="1:8" s="55" customFormat="1" ht="13.5" thickTop="1" x14ac:dyDescent="0.2">
      <c r="A293" s="242" t="s">
        <v>645</v>
      </c>
      <c r="B293" s="520">
        <v>0</v>
      </c>
      <c r="C293" s="515">
        <v>839002</v>
      </c>
      <c r="D293" s="515">
        <v>839002</v>
      </c>
      <c r="E293" s="245">
        <f t="shared" si="13"/>
        <v>100</v>
      </c>
      <c r="F293" s="121" t="s">
        <v>95</v>
      </c>
      <c r="G293" s="123" t="s">
        <v>604</v>
      </c>
      <c r="H293" s="54"/>
    </row>
    <row r="294" spans="1:8" s="55" customFormat="1" ht="25.5" x14ac:dyDescent="0.2">
      <c r="A294" s="242" t="s">
        <v>646</v>
      </c>
      <c r="B294" s="520">
        <v>0</v>
      </c>
      <c r="C294" s="515">
        <v>400000</v>
      </c>
      <c r="D294" s="515">
        <v>400000</v>
      </c>
      <c r="E294" s="245">
        <f t="shared" si="13"/>
        <v>100</v>
      </c>
      <c r="F294" s="121" t="s">
        <v>95</v>
      </c>
      <c r="G294" s="123" t="s">
        <v>604</v>
      </c>
      <c r="H294" s="54"/>
    </row>
    <row r="295" spans="1:8" s="55" customFormat="1" x14ac:dyDescent="0.2">
      <c r="A295" s="242" t="s">
        <v>647</v>
      </c>
      <c r="B295" s="520">
        <v>0</v>
      </c>
      <c r="C295" s="515">
        <v>598788</v>
      </c>
      <c r="D295" s="515">
        <v>598788</v>
      </c>
      <c r="E295" s="245">
        <f t="shared" si="13"/>
        <v>100</v>
      </c>
      <c r="F295" s="121" t="s">
        <v>95</v>
      </c>
      <c r="G295" s="123" t="s">
        <v>604</v>
      </c>
      <c r="H295" s="54"/>
    </row>
    <row r="296" spans="1:8" s="55" customFormat="1" ht="25.5" x14ac:dyDescent="0.2">
      <c r="A296" s="242" t="s">
        <v>648</v>
      </c>
      <c r="B296" s="520">
        <v>0</v>
      </c>
      <c r="C296" s="515">
        <v>252350</v>
      </c>
      <c r="D296" s="515">
        <v>252350</v>
      </c>
      <c r="E296" s="245">
        <f t="shared" si="13"/>
        <v>100</v>
      </c>
      <c r="F296" s="121" t="s">
        <v>95</v>
      </c>
      <c r="G296" s="123" t="s">
        <v>604</v>
      </c>
      <c r="H296" s="54"/>
    </row>
    <row r="297" spans="1:8" s="55" customFormat="1" ht="25.5" x14ac:dyDescent="0.2">
      <c r="A297" s="242" t="s">
        <v>649</v>
      </c>
      <c r="B297" s="520">
        <v>0</v>
      </c>
      <c r="C297" s="515">
        <v>650000</v>
      </c>
      <c r="D297" s="515">
        <v>650000</v>
      </c>
      <c r="E297" s="245">
        <f t="shared" si="13"/>
        <v>100</v>
      </c>
      <c r="F297" s="121" t="s">
        <v>95</v>
      </c>
      <c r="G297" s="123" t="s">
        <v>604</v>
      </c>
      <c r="H297" s="54"/>
    </row>
    <row r="298" spans="1:8" s="55" customFormat="1" x14ac:dyDescent="0.2">
      <c r="A298" s="242" t="s">
        <v>650</v>
      </c>
      <c r="B298" s="520">
        <v>0</v>
      </c>
      <c r="C298" s="515">
        <v>95787.839999999997</v>
      </c>
      <c r="D298" s="515">
        <v>95787.839999999997</v>
      </c>
      <c r="E298" s="245">
        <f t="shared" si="13"/>
        <v>100</v>
      </c>
      <c r="F298" s="121" t="s">
        <v>95</v>
      </c>
      <c r="G298" s="123" t="s">
        <v>604</v>
      </c>
      <c r="H298" s="54"/>
    </row>
    <row r="299" spans="1:8" s="55" customFormat="1" ht="25.5" x14ac:dyDescent="0.2">
      <c r="A299" s="242" t="s">
        <v>651</v>
      </c>
      <c r="B299" s="520">
        <v>0</v>
      </c>
      <c r="C299" s="515">
        <v>45000</v>
      </c>
      <c r="D299" s="515">
        <v>45000</v>
      </c>
      <c r="E299" s="245">
        <f t="shared" si="13"/>
        <v>100</v>
      </c>
      <c r="F299" s="121" t="s">
        <v>95</v>
      </c>
      <c r="G299" s="123" t="s">
        <v>604</v>
      </c>
      <c r="H299" s="54"/>
    </row>
    <row r="300" spans="1:8" s="55" customFormat="1" x14ac:dyDescent="0.2">
      <c r="A300" s="242" t="s">
        <v>652</v>
      </c>
      <c r="B300" s="520">
        <v>0</v>
      </c>
      <c r="C300" s="515">
        <v>50000</v>
      </c>
      <c r="D300" s="515">
        <v>50000</v>
      </c>
      <c r="E300" s="245">
        <f t="shared" si="13"/>
        <v>100</v>
      </c>
      <c r="F300" s="121" t="s">
        <v>95</v>
      </c>
      <c r="G300" s="123" t="s">
        <v>604</v>
      </c>
      <c r="H300" s="54"/>
    </row>
    <row r="301" spans="1:8" s="55" customFormat="1" ht="25.5" x14ac:dyDescent="0.2">
      <c r="A301" s="242" t="s">
        <v>653</v>
      </c>
      <c r="B301" s="520">
        <v>0</v>
      </c>
      <c r="C301" s="515">
        <v>365000</v>
      </c>
      <c r="D301" s="515">
        <v>365000</v>
      </c>
      <c r="E301" s="245">
        <f t="shared" si="13"/>
        <v>100</v>
      </c>
      <c r="F301" s="121" t="s">
        <v>95</v>
      </c>
      <c r="G301" s="123" t="s">
        <v>604</v>
      </c>
      <c r="H301" s="54"/>
    </row>
    <row r="302" spans="1:8" s="55" customFormat="1" ht="25.5" x14ac:dyDescent="0.2">
      <c r="A302" s="242" t="s">
        <v>654</v>
      </c>
      <c r="B302" s="520">
        <v>0</v>
      </c>
      <c r="C302" s="515">
        <v>180435</v>
      </c>
      <c r="D302" s="515">
        <v>180435</v>
      </c>
      <c r="E302" s="245">
        <f t="shared" si="13"/>
        <v>100</v>
      </c>
      <c r="F302" s="121" t="s">
        <v>532</v>
      </c>
      <c r="G302" s="123" t="s">
        <v>604</v>
      </c>
      <c r="H302" s="54"/>
    </row>
    <row r="303" spans="1:8" s="55" customFormat="1" x14ac:dyDescent="0.2">
      <c r="A303" s="242" t="s">
        <v>655</v>
      </c>
      <c r="B303" s="520">
        <v>0</v>
      </c>
      <c r="C303" s="515">
        <v>249596</v>
      </c>
      <c r="D303" s="515">
        <v>249596</v>
      </c>
      <c r="E303" s="245">
        <f t="shared" si="13"/>
        <v>100</v>
      </c>
      <c r="F303" s="121" t="s">
        <v>657</v>
      </c>
      <c r="G303" s="123" t="s">
        <v>604</v>
      </c>
      <c r="H303" s="54"/>
    </row>
    <row r="304" spans="1:8" s="55" customFormat="1" ht="25.5" x14ac:dyDescent="0.2">
      <c r="A304" s="242" t="s">
        <v>656</v>
      </c>
      <c r="B304" s="520">
        <v>0</v>
      </c>
      <c r="C304" s="515">
        <v>619080</v>
      </c>
      <c r="D304" s="515">
        <v>619080</v>
      </c>
      <c r="E304" s="245">
        <f t="shared" si="13"/>
        <v>100</v>
      </c>
      <c r="F304" s="121" t="s">
        <v>657</v>
      </c>
      <c r="G304" s="123" t="s">
        <v>604</v>
      </c>
      <c r="H304" s="54"/>
    </row>
    <row r="305" spans="1:12" s="55" customFormat="1" x14ac:dyDescent="0.2">
      <c r="A305" s="242" t="s">
        <v>658</v>
      </c>
      <c r="B305" s="520">
        <v>0</v>
      </c>
      <c r="C305" s="515">
        <v>105452</v>
      </c>
      <c r="D305" s="515">
        <v>105452</v>
      </c>
      <c r="E305" s="245">
        <f t="shared" si="13"/>
        <v>100</v>
      </c>
      <c r="F305" s="121" t="s">
        <v>199</v>
      </c>
      <c r="G305" s="123" t="s">
        <v>604</v>
      </c>
      <c r="H305" s="54"/>
    </row>
    <row r="306" spans="1:12" s="55" customFormat="1" ht="25.5" x14ac:dyDescent="0.2">
      <c r="A306" s="242" t="s">
        <v>659</v>
      </c>
      <c r="B306" s="520">
        <v>0</v>
      </c>
      <c r="C306" s="515">
        <v>298780</v>
      </c>
      <c r="D306" s="515">
        <v>298780</v>
      </c>
      <c r="E306" s="245">
        <f t="shared" si="13"/>
        <v>100</v>
      </c>
      <c r="F306" s="121" t="s">
        <v>203</v>
      </c>
      <c r="G306" s="123" t="s">
        <v>604</v>
      </c>
      <c r="H306" s="54"/>
    </row>
    <row r="307" spans="1:12" s="55" customFormat="1" x14ac:dyDescent="0.2">
      <c r="A307" s="242" t="s">
        <v>660</v>
      </c>
      <c r="B307" s="520">
        <v>0</v>
      </c>
      <c r="C307" s="515">
        <v>146955</v>
      </c>
      <c r="D307" s="515">
        <v>146955</v>
      </c>
      <c r="E307" s="245">
        <f t="shared" si="13"/>
        <v>100</v>
      </c>
      <c r="F307" s="121" t="s">
        <v>203</v>
      </c>
      <c r="G307" s="123" t="s">
        <v>604</v>
      </c>
      <c r="H307" s="54"/>
    </row>
    <row r="308" spans="1:12" s="55" customFormat="1" x14ac:dyDescent="0.2">
      <c r="A308" s="242" t="s">
        <v>661</v>
      </c>
      <c r="B308" s="520">
        <v>0</v>
      </c>
      <c r="C308" s="515">
        <v>212960</v>
      </c>
      <c r="D308" s="515">
        <v>212960</v>
      </c>
      <c r="E308" s="245">
        <f t="shared" si="13"/>
        <v>100</v>
      </c>
      <c r="F308" s="121" t="s">
        <v>203</v>
      </c>
      <c r="G308" s="123" t="s">
        <v>604</v>
      </c>
      <c r="H308" s="54"/>
    </row>
    <row r="309" spans="1:12" s="55" customFormat="1" ht="26.25" thickBot="1" x14ac:dyDescent="0.25">
      <c r="A309" s="516" t="s">
        <v>662</v>
      </c>
      <c r="B309" s="583">
        <v>0</v>
      </c>
      <c r="C309" s="517">
        <v>130600</v>
      </c>
      <c r="D309" s="517">
        <v>130600</v>
      </c>
      <c r="E309" s="251">
        <f t="shared" si="13"/>
        <v>100</v>
      </c>
      <c r="F309" s="121" t="s">
        <v>203</v>
      </c>
      <c r="G309" s="123" t="s">
        <v>604</v>
      </c>
      <c r="H309" s="54"/>
    </row>
    <row r="310" spans="1:12" s="55" customFormat="1" ht="13.5" thickTop="1" x14ac:dyDescent="0.2">
      <c r="A310" s="195"/>
      <c r="B310" s="196"/>
      <c r="C310" s="196"/>
      <c r="D310" s="196"/>
      <c r="E310" s="53"/>
      <c r="F310" s="121"/>
      <c r="G310" s="123"/>
      <c r="H310" s="54"/>
    </row>
    <row r="311" spans="1:12" s="55" customFormat="1" ht="15.75" thickBot="1" x14ac:dyDescent="0.3">
      <c r="A311" s="39" t="s">
        <v>721</v>
      </c>
      <c r="B311" s="32"/>
      <c r="C311" s="5"/>
      <c r="D311" s="5"/>
      <c r="E311" s="40" t="s">
        <v>18</v>
      </c>
      <c r="F311" s="5"/>
      <c r="G311" s="98"/>
      <c r="H311" s="54"/>
    </row>
    <row r="312" spans="1:12" s="55" customFormat="1" ht="14.25" thickTop="1" thickBot="1" x14ac:dyDescent="0.25">
      <c r="A312" s="41" t="s">
        <v>5</v>
      </c>
      <c r="B312" s="42" t="s">
        <v>0</v>
      </c>
      <c r="C312" s="43" t="s">
        <v>1</v>
      </c>
      <c r="D312" s="44" t="s">
        <v>4</v>
      </c>
      <c r="E312" s="45" t="s">
        <v>6</v>
      </c>
      <c r="F312" s="5"/>
      <c r="G312" s="98"/>
      <c r="H312" s="54"/>
    </row>
    <row r="313" spans="1:12" s="55" customFormat="1" ht="15.75" thickTop="1" x14ac:dyDescent="0.2">
      <c r="A313" s="46" t="s">
        <v>9</v>
      </c>
      <c r="B313" s="47">
        <f>SUM(B314:B314)</f>
        <v>0</v>
      </c>
      <c r="C313" s="47">
        <f>SUM(C314:C314)</f>
        <v>4000</v>
      </c>
      <c r="D313" s="47">
        <f>SUM(D314:D314)</f>
        <v>4000</v>
      </c>
      <c r="E313" s="79">
        <f>D313/C313*100</f>
        <v>100</v>
      </c>
      <c r="F313" s="80"/>
      <c r="G313" s="99"/>
      <c r="H313" s="54"/>
      <c r="I313" s="146" t="s">
        <v>33</v>
      </c>
      <c r="J313" s="147">
        <f>SUM(B180:B212)</f>
        <v>81439000</v>
      </c>
      <c r="K313" s="147">
        <f>SUM(C180:C212)</f>
        <v>86576199.999999985</v>
      </c>
      <c r="L313" s="147">
        <f>SUM(D180:D212)</f>
        <v>66454336.969999999</v>
      </c>
    </row>
    <row r="314" spans="1:12" s="55" customFormat="1" ht="13.5" thickBot="1" x14ac:dyDescent="0.25">
      <c r="A314" s="197" t="s">
        <v>205</v>
      </c>
      <c r="B314" s="139">
        <v>0</v>
      </c>
      <c r="C314" s="141">
        <v>4000</v>
      </c>
      <c r="D314" s="139">
        <v>4000</v>
      </c>
      <c r="E314" s="140">
        <f>D314/C314*100</f>
        <v>100</v>
      </c>
      <c r="F314" s="122"/>
      <c r="G314" s="151" t="s">
        <v>36</v>
      </c>
      <c r="H314" s="54"/>
      <c r="I314" s="123" t="s">
        <v>35</v>
      </c>
      <c r="J314" s="128">
        <f>B216</f>
        <v>0</v>
      </c>
      <c r="K314" s="128">
        <f>C216</f>
        <v>24143881.34</v>
      </c>
      <c r="L314" s="128">
        <f>D216</f>
        <v>24143881.34</v>
      </c>
    </row>
    <row r="315" spans="1:12" s="55" customFormat="1" ht="13.5" thickTop="1" x14ac:dyDescent="0.2">
      <c r="A315" s="195"/>
      <c r="B315" s="196"/>
      <c r="C315" s="196"/>
      <c r="D315" s="196"/>
      <c r="E315" s="53"/>
      <c r="F315" s="121"/>
      <c r="G315" s="123"/>
      <c r="H315" s="54"/>
      <c r="I315" s="151" t="s">
        <v>36</v>
      </c>
      <c r="J315" s="200">
        <f>B313</f>
        <v>0</v>
      </c>
      <c r="K315" s="200">
        <f>C313</f>
        <v>4000</v>
      </c>
      <c r="L315" s="200">
        <f>D313</f>
        <v>4000</v>
      </c>
    </row>
    <row r="316" spans="1:12" s="55" customFormat="1" ht="15" x14ac:dyDescent="0.25">
      <c r="A316" s="39"/>
      <c r="B316" s="32"/>
      <c r="C316" s="5"/>
      <c r="D316" s="3"/>
      <c r="E316" s="40"/>
      <c r="F316" s="90"/>
      <c r="G316" s="54"/>
      <c r="H316" s="54"/>
      <c r="J316" s="126">
        <f>SUM(J313:J315)</f>
        <v>81439000</v>
      </c>
      <c r="K316" s="126">
        <f>SUM(K313:K315)</f>
        <v>110724081.33999999</v>
      </c>
      <c r="L316" s="126">
        <f>SUM(L313:L315)</f>
        <v>90602218.310000002</v>
      </c>
    </row>
    <row r="317" spans="1:12" s="6" customFormat="1" ht="18.75" thickBot="1" x14ac:dyDescent="0.3">
      <c r="A317" s="63" t="s">
        <v>21</v>
      </c>
      <c r="B317" s="582">
        <f>SUM(B179,B216,B313)</f>
        <v>81439000</v>
      </c>
      <c r="C317" s="582">
        <f t="shared" ref="C317:D317" si="14">SUM(C179,C216,C313)</f>
        <v>110724081.33999999</v>
      </c>
      <c r="D317" s="582">
        <f t="shared" si="14"/>
        <v>90602218.310000002</v>
      </c>
      <c r="E317" s="65">
        <f>D317/C317*100</f>
        <v>81.8270219210834</v>
      </c>
      <c r="F317" s="29"/>
      <c r="G317" s="66"/>
      <c r="H317" s="66"/>
    </row>
    <row r="318" spans="1:12" s="7" customFormat="1" ht="13.5" thickTop="1" x14ac:dyDescent="0.2">
      <c r="B318" s="585"/>
      <c r="E318" s="53"/>
      <c r="F318" s="83"/>
      <c r="G318" s="57"/>
      <c r="H318" s="57"/>
    </row>
    <row r="319" spans="1:12" s="7" customFormat="1" x14ac:dyDescent="0.2">
      <c r="B319" s="585"/>
      <c r="E319" s="53"/>
      <c r="F319" s="83"/>
      <c r="G319" s="57"/>
      <c r="H319" s="57"/>
    </row>
    <row r="320" spans="1:12" ht="15" customHeight="1" x14ac:dyDescent="0.25">
      <c r="A320" s="36" t="s">
        <v>72</v>
      </c>
      <c r="B320" s="32"/>
    </row>
    <row r="321" spans="1:8" ht="15" customHeight="1" thickBot="1" x14ac:dyDescent="0.3">
      <c r="A321" s="39" t="s">
        <v>229</v>
      </c>
      <c r="B321" s="32"/>
      <c r="E321" s="40" t="s">
        <v>18</v>
      </c>
    </row>
    <row r="322" spans="1:8" ht="14.25" thickTop="1" thickBot="1" x14ac:dyDescent="0.25">
      <c r="A322" s="41" t="s">
        <v>5</v>
      </c>
      <c r="B322" s="42" t="s">
        <v>0</v>
      </c>
      <c r="C322" s="43" t="s">
        <v>1</v>
      </c>
      <c r="D322" s="44" t="s">
        <v>4</v>
      </c>
      <c r="E322" s="45" t="s">
        <v>6</v>
      </c>
    </row>
    <row r="323" spans="1:8" ht="15.75" thickTop="1" x14ac:dyDescent="0.2">
      <c r="A323" s="159" t="s">
        <v>8</v>
      </c>
      <c r="B323" s="114">
        <f>SUM(B324:B335)</f>
        <v>43813000</v>
      </c>
      <c r="C323" s="114">
        <f>SUM(C324:C335)</f>
        <v>26363000</v>
      </c>
      <c r="D323" s="114">
        <f>SUM(D324:D335)</f>
        <v>15204105.92</v>
      </c>
      <c r="E323" s="160">
        <f>D323/C323*100</f>
        <v>57.672138679209496</v>
      </c>
      <c r="F323" s="37"/>
    </row>
    <row r="324" spans="1:8" s="35" customFormat="1" x14ac:dyDescent="0.2">
      <c r="A324" s="620" t="s">
        <v>442</v>
      </c>
      <c r="B324" s="613">
        <v>109000</v>
      </c>
      <c r="C324" s="621">
        <v>246274</v>
      </c>
      <c r="D324" s="621">
        <v>246273</v>
      </c>
      <c r="E324" s="615">
        <f t="shared" ref="E324:E335" si="15">D324/C324*100</f>
        <v>99.999593948204037</v>
      </c>
      <c r="F324" s="86">
        <v>100771</v>
      </c>
      <c r="G324" s="118" t="s">
        <v>33</v>
      </c>
      <c r="H324" s="30"/>
    </row>
    <row r="325" spans="1:8" s="35" customFormat="1" x14ac:dyDescent="0.2">
      <c r="A325" s="268" t="s">
        <v>443</v>
      </c>
      <c r="B325" s="528">
        <v>0</v>
      </c>
      <c r="C325" s="269">
        <v>1800000</v>
      </c>
      <c r="D325" s="269">
        <v>45980</v>
      </c>
      <c r="E325" s="245">
        <f t="shared" si="15"/>
        <v>2.5544444444444445</v>
      </c>
      <c r="F325" s="86">
        <v>100989</v>
      </c>
      <c r="G325" s="118" t="s">
        <v>33</v>
      </c>
      <c r="H325" s="30"/>
    </row>
    <row r="326" spans="1:8" s="35" customFormat="1" x14ac:dyDescent="0.2">
      <c r="A326" s="268" t="s">
        <v>444</v>
      </c>
      <c r="B326" s="528">
        <v>25000000</v>
      </c>
      <c r="C326" s="269">
        <v>8231000</v>
      </c>
      <c r="D326" s="269">
        <v>2331419.2599999998</v>
      </c>
      <c r="E326" s="245">
        <f t="shared" si="15"/>
        <v>28.324860405783014</v>
      </c>
      <c r="F326" s="86">
        <v>101075</v>
      </c>
      <c r="G326" s="118" t="s">
        <v>33</v>
      </c>
      <c r="H326" s="30"/>
    </row>
    <row r="327" spans="1:8" s="35" customFormat="1" x14ac:dyDescent="0.2">
      <c r="A327" s="268" t="s">
        <v>445</v>
      </c>
      <c r="B327" s="528">
        <v>6900000</v>
      </c>
      <c r="C327" s="269">
        <v>8685034</v>
      </c>
      <c r="D327" s="269">
        <v>8380755</v>
      </c>
      <c r="E327" s="245">
        <f t="shared" si="15"/>
        <v>96.496513427581291</v>
      </c>
      <c r="F327" s="86">
        <v>101077</v>
      </c>
      <c r="G327" s="118" t="s">
        <v>33</v>
      </c>
      <c r="H327" s="30"/>
    </row>
    <row r="328" spans="1:8" s="35" customFormat="1" ht="25.5" x14ac:dyDescent="0.2">
      <c r="A328" s="254" t="s">
        <v>446</v>
      </c>
      <c r="B328" s="243">
        <v>8000000</v>
      </c>
      <c r="C328" s="520">
        <v>2339323</v>
      </c>
      <c r="D328" s="520">
        <v>129712</v>
      </c>
      <c r="E328" s="245">
        <f t="shared" si="15"/>
        <v>5.5448520789989244</v>
      </c>
      <c r="F328" s="86">
        <v>101079</v>
      </c>
      <c r="G328" s="118" t="s">
        <v>33</v>
      </c>
      <c r="H328" s="30"/>
    </row>
    <row r="329" spans="1:8" s="35" customFormat="1" x14ac:dyDescent="0.2">
      <c r="A329" s="268" t="s">
        <v>447</v>
      </c>
      <c r="B329" s="528">
        <v>1440000</v>
      </c>
      <c r="C329" s="269">
        <v>1745403</v>
      </c>
      <c r="D329" s="269">
        <v>1734741.79</v>
      </c>
      <c r="E329" s="245">
        <f t="shared" si="15"/>
        <v>99.389183472241086</v>
      </c>
      <c r="F329" s="86">
        <v>101097</v>
      </c>
      <c r="G329" s="118" t="s">
        <v>33</v>
      </c>
      <c r="H329" s="30"/>
    </row>
    <row r="330" spans="1:8" s="35" customFormat="1" x14ac:dyDescent="0.2">
      <c r="A330" s="268" t="s">
        <v>448</v>
      </c>
      <c r="B330" s="528">
        <v>600000</v>
      </c>
      <c r="C330" s="269">
        <v>277966</v>
      </c>
      <c r="D330" s="269">
        <v>144975.87</v>
      </c>
      <c r="E330" s="245">
        <f t="shared" si="15"/>
        <v>52.155972313160603</v>
      </c>
      <c r="F330" s="86">
        <v>101109</v>
      </c>
      <c r="G330" s="118" t="s">
        <v>33</v>
      </c>
      <c r="H330" s="30"/>
    </row>
    <row r="331" spans="1:8" s="35" customFormat="1" x14ac:dyDescent="0.2">
      <c r="A331" s="268" t="s">
        <v>449</v>
      </c>
      <c r="B331" s="528">
        <v>1764000</v>
      </c>
      <c r="C331" s="269">
        <v>264000</v>
      </c>
      <c r="D331" s="269">
        <v>215743</v>
      </c>
      <c r="E331" s="245">
        <f t="shared" si="15"/>
        <v>81.720833333333331</v>
      </c>
      <c r="F331" s="86">
        <v>101168</v>
      </c>
      <c r="G331" s="118" t="s">
        <v>33</v>
      </c>
      <c r="H331" s="30"/>
    </row>
    <row r="332" spans="1:8" s="35" customFormat="1" x14ac:dyDescent="0.2">
      <c r="A332" s="268" t="s">
        <v>450</v>
      </c>
      <c r="B332" s="528">
        <v>0</v>
      </c>
      <c r="C332" s="269">
        <v>584000</v>
      </c>
      <c r="D332" s="269">
        <v>287375</v>
      </c>
      <c r="E332" s="245">
        <f t="shared" si="15"/>
        <v>49.208047945205479</v>
      </c>
      <c r="F332" s="86">
        <v>101187</v>
      </c>
      <c r="G332" s="118" t="s">
        <v>33</v>
      </c>
      <c r="H332" s="30"/>
    </row>
    <row r="333" spans="1:8" s="35" customFormat="1" x14ac:dyDescent="0.2">
      <c r="A333" s="268" t="s">
        <v>451</v>
      </c>
      <c r="B333" s="528">
        <v>0</v>
      </c>
      <c r="C333" s="269">
        <v>1000000</v>
      </c>
      <c r="D333" s="269">
        <v>943800</v>
      </c>
      <c r="E333" s="245">
        <f t="shared" si="15"/>
        <v>94.38</v>
      </c>
      <c r="F333" s="86">
        <v>101188</v>
      </c>
      <c r="G333" s="118" t="s">
        <v>33</v>
      </c>
      <c r="H333" s="30"/>
    </row>
    <row r="334" spans="1:8" s="35" customFormat="1" ht="25.5" x14ac:dyDescent="0.2">
      <c r="A334" s="254" t="s">
        <v>452</v>
      </c>
      <c r="B334" s="243">
        <v>0</v>
      </c>
      <c r="C334" s="520">
        <v>640000</v>
      </c>
      <c r="D334" s="520">
        <v>637331</v>
      </c>
      <c r="E334" s="245">
        <f t="shared" si="15"/>
        <v>99.582968750000006</v>
      </c>
      <c r="F334" s="86">
        <v>101189</v>
      </c>
      <c r="G334" s="118" t="s">
        <v>33</v>
      </c>
      <c r="H334" s="30"/>
    </row>
    <row r="335" spans="1:8" s="35" customFormat="1" ht="13.5" thickBot="1" x14ac:dyDescent="0.25">
      <c r="A335" s="521" t="s">
        <v>453</v>
      </c>
      <c r="B335" s="530">
        <v>0</v>
      </c>
      <c r="C335" s="522">
        <v>550000</v>
      </c>
      <c r="D335" s="522">
        <v>106000</v>
      </c>
      <c r="E335" s="251">
        <f t="shared" si="15"/>
        <v>19.272727272727273</v>
      </c>
      <c r="F335" s="86">
        <v>101232</v>
      </c>
      <c r="G335" s="118" t="s">
        <v>33</v>
      </c>
      <c r="H335" s="30"/>
    </row>
    <row r="336" spans="1:8" ht="13.5" thickTop="1" x14ac:dyDescent="0.2">
      <c r="A336" s="67"/>
      <c r="B336" s="74"/>
      <c r="C336" s="70"/>
      <c r="D336" s="70"/>
      <c r="E336" s="53"/>
      <c r="F336" s="37"/>
      <c r="G336" s="118"/>
    </row>
    <row r="337" spans="1:7" ht="15" customHeight="1" thickBot="1" x14ac:dyDescent="0.25">
      <c r="A337" s="58" t="s">
        <v>29</v>
      </c>
      <c r="B337" s="32"/>
      <c r="E337" s="40" t="s">
        <v>18</v>
      </c>
    </row>
    <row r="338" spans="1:7" ht="14.25" thickTop="1" thickBot="1" x14ac:dyDescent="0.25">
      <c r="A338" s="41" t="s">
        <v>5</v>
      </c>
      <c r="B338" s="42" t="s">
        <v>0</v>
      </c>
      <c r="C338" s="43" t="s">
        <v>1</v>
      </c>
      <c r="D338" s="44" t="s">
        <v>4</v>
      </c>
      <c r="E338" s="45" t="s">
        <v>6</v>
      </c>
    </row>
    <row r="339" spans="1:7" ht="15.75" thickTop="1" x14ac:dyDescent="0.2">
      <c r="A339" s="159" t="s">
        <v>8</v>
      </c>
      <c r="B339" s="114">
        <f>SUM(B340:B362)</f>
        <v>0</v>
      </c>
      <c r="C339" s="114">
        <f t="shared" ref="C339:D339" si="16">SUM(C340:C362)</f>
        <v>8225249.71</v>
      </c>
      <c r="D339" s="114">
        <f t="shared" si="16"/>
        <v>8225249.71</v>
      </c>
      <c r="E339" s="160">
        <f>D339/C339*100</f>
        <v>100</v>
      </c>
      <c r="F339" s="37"/>
    </row>
    <row r="340" spans="1:7" x14ac:dyDescent="0.2">
      <c r="A340" s="623" t="s">
        <v>538</v>
      </c>
      <c r="B340" s="624">
        <v>0</v>
      </c>
      <c r="C340" s="624">
        <v>545500</v>
      </c>
      <c r="D340" s="624">
        <v>545500</v>
      </c>
      <c r="E340" s="615">
        <f t="shared" ref="E340:E362" si="17">D340/C340*100</f>
        <v>100</v>
      </c>
      <c r="F340" s="86">
        <v>1602</v>
      </c>
      <c r="G340" s="123" t="s">
        <v>663</v>
      </c>
    </row>
    <row r="341" spans="1:7" ht="25.5" x14ac:dyDescent="0.2">
      <c r="A341" s="254" t="s">
        <v>539</v>
      </c>
      <c r="B341" s="269">
        <v>0</v>
      </c>
      <c r="C341" s="269">
        <v>199940.4</v>
      </c>
      <c r="D341" s="269">
        <v>199940.4</v>
      </c>
      <c r="E341" s="245">
        <f t="shared" si="17"/>
        <v>100</v>
      </c>
      <c r="F341" s="86">
        <v>1604</v>
      </c>
      <c r="G341" s="123" t="s">
        <v>663</v>
      </c>
    </row>
    <row r="342" spans="1:7" ht="25.5" x14ac:dyDescent="0.2">
      <c r="A342" s="254" t="s">
        <v>540</v>
      </c>
      <c r="B342" s="269">
        <v>0</v>
      </c>
      <c r="C342" s="269">
        <v>976041.55</v>
      </c>
      <c r="D342" s="269">
        <v>976041.55</v>
      </c>
      <c r="E342" s="245">
        <f t="shared" si="17"/>
        <v>100</v>
      </c>
      <c r="F342" s="86">
        <v>1606</v>
      </c>
      <c r="G342" s="123" t="s">
        <v>663</v>
      </c>
    </row>
    <row r="343" spans="1:7" ht="25.5" x14ac:dyDescent="0.2">
      <c r="A343" s="254" t="s">
        <v>541</v>
      </c>
      <c r="B343" s="269">
        <v>0</v>
      </c>
      <c r="C343" s="269">
        <v>189536</v>
      </c>
      <c r="D343" s="269">
        <v>189536</v>
      </c>
      <c r="E343" s="245">
        <f t="shared" si="17"/>
        <v>100</v>
      </c>
      <c r="F343" s="86">
        <v>1606</v>
      </c>
      <c r="G343" s="123" t="s">
        <v>663</v>
      </c>
    </row>
    <row r="344" spans="1:7" x14ac:dyDescent="0.2">
      <c r="A344" s="254" t="s">
        <v>665</v>
      </c>
      <c r="B344" s="269">
        <v>0</v>
      </c>
      <c r="C344" s="269">
        <v>579990</v>
      </c>
      <c r="D344" s="269">
        <v>579990</v>
      </c>
      <c r="E344" s="245">
        <f t="shared" si="17"/>
        <v>100</v>
      </c>
      <c r="F344" s="86">
        <v>1602</v>
      </c>
      <c r="G344" s="123" t="s">
        <v>664</v>
      </c>
    </row>
    <row r="345" spans="1:7" x14ac:dyDescent="0.2">
      <c r="A345" s="254" t="s">
        <v>666</v>
      </c>
      <c r="B345" s="269">
        <v>0</v>
      </c>
      <c r="C345" s="269">
        <v>1000000</v>
      </c>
      <c r="D345" s="269">
        <v>1000000</v>
      </c>
      <c r="E345" s="245">
        <f t="shared" si="17"/>
        <v>100</v>
      </c>
      <c r="F345" s="86">
        <v>1602</v>
      </c>
      <c r="G345" s="123" t="s">
        <v>664</v>
      </c>
    </row>
    <row r="346" spans="1:7" x14ac:dyDescent="0.2">
      <c r="A346" s="254" t="s">
        <v>667</v>
      </c>
      <c r="B346" s="269">
        <v>0</v>
      </c>
      <c r="C346" s="269">
        <v>478000</v>
      </c>
      <c r="D346" s="269">
        <v>478000</v>
      </c>
      <c r="E346" s="245">
        <f t="shared" si="17"/>
        <v>100</v>
      </c>
      <c r="F346" s="86">
        <v>1602</v>
      </c>
      <c r="G346" s="123" t="s">
        <v>664</v>
      </c>
    </row>
    <row r="347" spans="1:7" x14ac:dyDescent="0.2">
      <c r="A347" s="254" t="s">
        <v>668</v>
      </c>
      <c r="B347" s="269">
        <v>0</v>
      </c>
      <c r="C347" s="269">
        <v>160000</v>
      </c>
      <c r="D347" s="269">
        <v>160000</v>
      </c>
      <c r="E347" s="245">
        <f t="shared" si="17"/>
        <v>100</v>
      </c>
      <c r="F347" s="86">
        <v>1602</v>
      </c>
      <c r="G347" s="123" t="s">
        <v>664</v>
      </c>
    </row>
    <row r="348" spans="1:7" x14ac:dyDescent="0.2">
      <c r="A348" s="254" t="s">
        <v>669</v>
      </c>
      <c r="B348" s="269">
        <v>0</v>
      </c>
      <c r="C348" s="269">
        <v>316269</v>
      </c>
      <c r="D348" s="269">
        <v>316269</v>
      </c>
      <c r="E348" s="245">
        <f t="shared" si="17"/>
        <v>100</v>
      </c>
      <c r="F348" s="86">
        <v>1602</v>
      </c>
      <c r="G348" s="123" t="s">
        <v>664</v>
      </c>
    </row>
    <row r="349" spans="1:7" ht="25.5" x14ac:dyDescent="0.2">
      <c r="A349" s="254" t="s">
        <v>670</v>
      </c>
      <c r="B349" s="269">
        <v>0</v>
      </c>
      <c r="C349" s="269">
        <v>150000</v>
      </c>
      <c r="D349" s="269">
        <v>150000</v>
      </c>
      <c r="E349" s="245">
        <f t="shared" si="17"/>
        <v>100</v>
      </c>
      <c r="F349" s="86">
        <v>1602</v>
      </c>
      <c r="G349" s="123" t="s">
        <v>664</v>
      </c>
    </row>
    <row r="350" spans="1:7" ht="25.5" x14ac:dyDescent="0.2">
      <c r="A350" s="254" t="s">
        <v>671</v>
      </c>
      <c r="B350" s="269">
        <v>0</v>
      </c>
      <c r="C350" s="269">
        <v>240274</v>
      </c>
      <c r="D350" s="269">
        <v>240274</v>
      </c>
      <c r="E350" s="245">
        <f t="shared" si="17"/>
        <v>100</v>
      </c>
      <c r="F350" s="86">
        <v>1603</v>
      </c>
      <c r="G350" s="123" t="s">
        <v>664</v>
      </c>
    </row>
    <row r="351" spans="1:7" x14ac:dyDescent="0.2">
      <c r="A351" s="254" t="s">
        <v>672</v>
      </c>
      <c r="B351" s="269">
        <v>0</v>
      </c>
      <c r="C351" s="269">
        <v>599950</v>
      </c>
      <c r="D351" s="269">
        <v>599950</v>
      </c>
      <c r="E351" s="245">
        <f t="shared" si="17"/>
        <v>100</v>
      </c>
      <c r="F351" s="86">
        <v>1603</v>
      </c>
      <c r="G351" s="123" t="s">
        <v>664</v>
      </c>
    </row>
    <row r="352" spans="1:7" ht="25.5" x14ac:dyDescent="0.2">
      <c r="A352" s="254" t="s">
        <v>673</v>
      </c>
      <c r="B352" s="520">
        <v>0</v>
      </c>
      <c r="C352" s="520">
        <v>99222</v>
      </c>
      <c r="D352" s="520">
        <v>99222</v>
      </c>
      <c r="E352" s="245">
        <f t="shared" si="17"/>
        <v>100</v>
      </c>
      <c r="F352" s="82">
        <v>1603</v>
      </c>
      <c r="G352" s="123" t="s">
        <v>664</v>
      </c>
    </row>
    <row r="353" spans="1:12" ht="25.5" x14ac:dyDescent="0.2">
      <c r="A353" s="254" t="s">
        <v>674</v>
      </c>
      <c r="B353" s="520">
        <v>0</v>
      </c>
      <c r="C353" s="520">
        <v>41163</v>
      </c>
      <c r="D353" s="520">
        <v>41163</v>
      </c>
      <c r="E353" s="245">
        <f t="shared" si="17"/>
        <v>100</v>
      </c>
      <c r="F353" s="82">
        <v>1603</v>
      </c>
      <c r="G353" s="123" t="s">
        <v>664</v>
      </c>
    </row>
    <row r="354" spans="1:12" ht="25.5" x14ac:dyDescent="0.2">
      <c r="A354" s="254" t="s">
        <v>675</v>
      </c>
      <c r="B354" s="520">
        <v>0</v>
      </c>
      <c r="C354" s="520">
        <v>41590</v>
      </c>
      <c r="D354" s="520">
        <v>41590</v>
      </c>
      <c r="E354" s="245">
        <f t="shared" si="17"/>
        <v>100</v>
      </c>
      <c r="F354" s="82">
        <v>1603</v>
      </c>
      <c r="G354" s="123" t="s">
        <v>664</v>
      </c>
    </row>
    <row r="355" spans="1:12" ht="25.5" x14ac:dyDescent="0.2">
      <c r="A355" s="254" t="s">
        <v>676</v>
      </c>
      <c r="B355" s="520">
        <v>0</v>
      </c>
      <c r="C355" s="520">
        <v>47000</v>
      </c>
      <c r="D355" s="520">
        <v>47000</v>
      </c>
      <c r="E355" s="245">
        <f t="shared" si="17"/>
        <v>100</v>
      </c>
      <c r="F355" s="82">
        <v>1603</v>
      </c>
      <c r="G355" s="123" t="s">
        <v>664</v>
      </c>
    </row>
    <row r="356" spans="1:12" ht="25.5" x14ac:dyDescent="0.2">
      <c r="A356" s="254" t="s">
        <v>677</v>
      </c>
      <c r="B356" s="520">
        <v>0</v>
      </c>
      <c r="C356" s="520">
        <v>197238.47</v>
      </c>
      <c r="D356" s="520">
        <v>197238.47</v>
      </c>
      <c r="E356" s="245">
        <f t="shared" si="17"/>
        <v>100</v>
      </c>
      <c r="F356" s="82">
        <v>1604</v>
      </c>
      <c r="G356" s="123" t="s">
        <v>664</v>
      </c>
    </row>
    <row r="357" spans="1:12" ht="25.5" x14ac:dyDescent="0.2">
      <c r="A357" s="254" t="s">
        <v>678</v>
      </c>
      <c r="B357" s="520">
        <v>0</v>
      </c>
      <c r="C357" s="520">
        <v>284398.78999999998</v>
      </c>
      <c r="D357" s="520">
        <v>284398.78999999998</v>
      </c>
      <c r="E357" s="245">
        <f t="shared" si="17"/>
        <v>100</v>
      </c>
      <c r="F357" s="82">
        <v>1604</v>
      </c>
      <c r="G357" s="123" t="s">
        <v>664</v>
      </c>
    </row>
    <row r="358" spans="1:12" ht="25.5" x14ac:dyDescent="0.2">
      <c r="A358" s="254" t="s">
        <v>679</v>
      </c>
      <c r="B358" s="520">
        <v>0</v>
      </c>
      <c r="C358" s="520">
        <v>407000</v>
      </c>
      <c r="D358" s="520">
        <v>407000</v>
      </c>
      <c r="E358" s="245">
        <f t="shared" si="17"/>
        <v>100</v>
      </c>
      <c r="F358" s="82">
        <v>1604</v>
      </c>
      <c r="G358" s="123" t="s">
        <v>664</v>
      </c>
    </row>
    <row r="359" spans="1:12" x14ac:dyDescent="0.2">
      <c r="A359" s="254" t="s">
        <v>680</v>
      </c>
      <c r="B359" s="520">
        <v>0</v>
      </c>
      <c r="C359" s="520">
        <v>149559.6</v>
      </c>
      <c r="D359" s="520">
        <v>149559.6</v>
      </c>
      <c r="E359" s="245">
        <f t="shared" si="17"/>
        <v>100</v>
      </c>
      <c r="F359" s="86">
        <v>1607</v>
      </c>
      <c r="G359" s="123" t="s">
        <v>664</v>
      </c>
    </row>
    <row r="360" spans="1:12" x14ac:dyDescent="0.2">
      <c r="A360" s="254" t="s">
        <v>681</v>
      </c>
      <c r="B360" s="520">
        <v>0</v>
      </c>
      <c r="C360" s="520">
        <v>305000</v>
      </c>
      <c r="D360" s="520">
        <v>305000</v>
      </c>
      <c r="E360" s="245">
        <f t="shared" si="17"/>
        <v>100</v>
      </c>
      <c r="F360" s="86">
        <v>1607</v>
      </c>
      <c r="G360" s="123" t="s">
        <v>664</v>
      </c>
    </row>
    <row r="361" spans="1:12" x14ac:dyDescent="0.2">
      <c r="A361" s="254" t="s">
        <v>682</v>
      </c>
      <c r="B361" s="269">
        <v>0</v>
      </c>
      <c r="C361" s="269">
        <v>855205</v>
      </c>
      <c r="D361" s="269">
        <v>855205</v>
      </c>
      <c r="E361" s="245">
        <f t="shared" si="17"/>
        <v>100</v>
      </c>
      <c r="F361" s="86">
        <v>1607</v>
      </c>
      <c r="G361" s="123" t="s">
        <v>664</v>
      </c>
    </row>
    <row r="362" spans="1:12" ht="13.5" thickBot="1" x14ac:dyDescent="0.25">
      <c r="A362" s="255" t="s">
        <v>683</v>
      </c>
      <c r="B362" s="522">
        <v>0</v>
      </c>
      <c r="C362" s="522">
        <v>362371.9</v>
      </c>
      <c r="D362" s="522">
        <v>362371.9</v>
      </c>
      <c r="E362" s="251">
        <f t="shared" si="17"/>
        <v>100</v>
      </c>
      <c r="F362" s="86">
        <v>1608</v>
      </c>
      <c r="G362" s="123" t="s">
        <v>664</v>
      </c>
      <c r="I362" s="146" t="s">
        <v>33</v>
      </c>
      <c r="J362" s="147">
        <f>SUM(B324:B335)</f>
        <v>43813000</v>
      </c>
      <c r="K362" s="147">
        <f t="shared" ref="K362:L362" si="18">SUM(C324:C335)</f>
        <v>26363000</v>
      </c>
      <c r="L362" s="147">
        <f t="shared" si="18"/>
        <v>15204105.92</v>
      </c>
    </row>
    <row r="363" spans="1:12" ht="13.5" thickTop="1" x14ac:dyDescent="0.2">
      <c r="A363" s="557"/>
      <c r="B363" s="70"/>
      <c r="C363" s="70"/>
      <c r="D363" s="70"/>
      <c r="E363" s="53"/>
      <c r="F363" s="86"/>
      <c r="G363" s="123"/>
      <c r="I363" s="123" t="s">
        <v>35</v>
      </c>
      <c r="J363" s="172">
        <f>SUM(B340:B362)</f>
        <v>0</v>
      </c>
      <c r="K363" s="172">
        <f>SUM(C340:C362)</f>
        <v>8225249.71</v>
      </c>
      <c r="L363" s="172">
        <f>SUM(D340:D362)</f>
        <v>8225249.71</v>
      </c>
    </row>
    <row r="364" spans="1:12" s="7" customFormat="1" ht="15.75" thickBot="1" x14ac:dyDescent="0.3">
      <c r="A364" s="39" t="s">
        <v>721</v>
      </c>
      <c r="B364" s="32"/>
      <c r="C364" s="5"/>
      <c r="D364" s="5"/>
      <c r="E364" s="40" t="s">
        <v>18</v>
      </c>
      <c r="F364" s="83"/>
      <c r="G364" s="57"/>
      <c r="I364" s="151" t="s">
        <v>36</v>
      </c>
      <c r="J364" s="200">
        <f>B367</f>
        <v>0</v>
      </c>
      <c r="K364" s="200">
        <f t="shared" ref="K364:L364" si="19">C367</f>
        <v>465170</v>
      </c>
      <c r="L364" s="200">
        <f t="shared" si="19"/>
        <v>3300</v>
      </c>
    </row>
    <row r="365" spans="1:12" s="7" customFormat="1" ht="19.5" thickTop="1" thickBot="1" x14ac:dyDescent="0.3">
      <c r="A365" s="41" t="s">
        <v>5</v>
      </c>
      <c r="B365" s="42" t="s">
        <v>0</v>
      </c>
      <c r="C365" s="43" t="s">
        <v>1</v>
      </c>
      <c r="D365" s="44" t="s">
        <v>4</v>
      </c>
      <c r="E365" s="45" t="s">
        <v>6</v>
      </c>
      <c r="F365" s="83"/>
      <c r="G365" s="57"/>
      <c r="I365" s="6"/>
      <c r="J365" s="126">
        <f>SUM(J362:J364)</f>
        <v>43813000</v>
      </c>
      <c r="K365" s="126">
        <f t="shared" ref="K365:L365" si="20">SUM(K362:K364)</f>
        <v>35053419.710000001</v>
      </c>
      <c r="L365" s="126">
        <f t="shared" si="20"/>
        <v>23432655.629999999</v>
      </c>
    </row>
    <row r="366" spans="1:12" s="7" customFormat="1" ht="18.75" thickTop="1" x14ac:dyDescent="0.25">
      <c r="A366" s="46" t="s">
        <v>8</v>
      </c>
      <c r="B366" s="47">
        <f>SUM(B367:B367)</f>
        <v>0</v>
      </c>
      <c r="C366" s="47">
        <f>SUM(C367:C367)</f>
        <v>465170</v>
      </c>
      <c r="D366" s="47">
        <f>SUM(D367:D367)</f>
        <v>3300</v>
      </c>
      <c r="E366" s="79">
        <f>D366/C366*100</f>
        <v>0.70941806221381432</v>
      </c>
      <c r="F366" s="83"/>
      <c r="G366" s="57"/>
      <c r="I366" s="6"/>
      <c r="J366" s="126"/>
      <c r="K366" s="126"/>
      <c r="L366" s="126"/>
    </row>
    <row r="367" spans="1:12" s="7" customFormat="1" ht="26.25" thickBot="1" x14ac:dyDescent="0.3">
      <c r="A367" s="611" t="s">
        <v>730</v>
      </c>
      <c r="B367" s="139">
        <v>0</v>
      </c>
      <c r="C367" s="141">
        <v>465170</v>
      </c>
      <c r="D367" s="139">
        <v>3300</v>
      </c>
      <c r="E367" s="140">
        <f>D367/C367*100</f>
        <v>0.70941806221381432</v>
      </c>
      <c r="F367" s="83"/>
      <c r="G367" s="151" t="s">
        <v>36</v>
      </c>
      <c r="I367" s="6"/>
      <c r="J367" s="126"/>
      <c r="K367" s="126"/>
      <c r="L367" s="126"/>
    </row>
    <row r="368" spans="1:12" s="7" customFormat="1" ht="18.75" thickTop="1" x14ac:dyDescent="0.25">
      <c r="A368" s="610"/>
      <c r="B368" s="116"/>
      <c r="C368" s="116"/>
      <c r="D368" s="116"/>
      <c r="E368" s="53"/>
      <c r="F368" s="83"/>
      <c r="G368" s="57"/>
      <c r="I368" s="6"/>
      <c r="J368" s="126"/>
      <c r="K368" s="126"/>
      <c r="L368" s="126"/>
    </row>
    <row r="369" spans="1:12" s="7" customFormat="1" ht="18" x14ac:dyDescent="0.25">
      <c r="B369" s="586"/>
      <c r="C369" s="94"/>
      <c r="D369" s="94"/>
      <c r="E369" s="53"/>
      <c r="F369" s="83"/>
      <c r="G369" s="57"/>
      <c r="I369" s="6"/>
      <c r="J369" s="126"/>
      <c r="K369" s="126"/>
      <c r="L369" s="126"/>
    </row>
    <row r="370" spans="1:12" s="6" customFormat="1" ht="18.75" thickBot="1" x14ac:dyDescent="0.3">
      <c r="A370" s="63" t="s">
        <v>22</v>
      </c>
      <c r="B370" s="582">
        <f>SUM(B339,B323,B366)</f>
        <v>43813000</v>
      </c>
      <c r="C370" s="582">
        <f t="shared" ref="C370:D370" si="21">SUM(C339,C323,C366)</f>
        <v>35053419.710000001</v>
      </c>
      <c r="D370" s="582">
        <f t="shared" si="21"/>
        <v>23432655.629999999</v>
      </c>
      <c r="E370" s="65">
        <f>D370/C370*100</f>
        <v>66.848415429536985</v>
      </c>
      <c r="F370" s="107"/>
      <c r="G370" s="66"/>
    </row>
    <row r="371" spans="1:12" s="6" customFormat="1" ht="18.75" thickTop="1" x14ac:dyDescent="0.25">
      <c r="A371" s="155"/>
      <c r="B371" s="587"/>
      <c r="C371" s="156"/>
      <c r="D371" s="156"/>
      <c r="E371" s="157"/>
      <c r="F371" s="107"/>
      <c r="G371" s="66"/>
    </row>
    <row r="372" spans="1:12" s="7" customFormat="1" x14ac:dyDescent="0.2">
      <c r="B372" s="585"/>
      <c r="E372" s="53"/>
      <c r="F372" s="83"/>
      <c r="G372" s="57"/>
    </row>
    <row r="373" spans="1:12" ht="15" customHeight="1" x14ac:dyDescent="0.25">
      <c r="A373" s="36" t="s">
        <v>73</v>
      </c>
      <c r="B373" s="32"/>
    </row>
    <row r="374" spans="1:12" ht="15" customHeight="1" thickBot="1" x14ac:dyDescent="0.3">
      <c r="A374" s="39" t="s">
        <v>229</v>
      </c>
      <c r="B374" s="32"/>
      <c r="E374" s="40" t="s">
        <v>18</v>
      </c>
    </row>
    <row r="375" spans="1:12" ht="14.25" thickTop="1" thickBot="1" x14ac:dyDescent="0.25">
      <c r="A375" s="41" t="s">
        <v>5</v>
      </c>
      <c r="B375" s="42" t="s">
        <v>0</v>
      </c>
      <c r="C375" s="43" t="s">
        <v>1</v>
      </c>
      <c r="D375" s="44" t="s">
        <v>4</v>
      </c>
      <c r="E375" s="45" t="s">
        <v>6</v>
      </c>
    </row>
    <row r="376" spans="1:12" ht="15.75" thickTop="1" x14ac:dyDescent="0.25">
      <c r="A376" s="46" t="s">
        <v>11</v>
      </c>
      <c r="B376" s="69">
        <f>SUM(B377:B398)</f>
        <v>13704000</v>
      </c>
      <c r="C376" s="69">
        <f>SUM(C377:C398)</f>
        <v>55505593.600000001</v>
      </c>
      <c r="D376" s="69">
        <f>SUM(D377:D398)</f>
        <v>37294406.090000004</v>
      </c>
      <c r="E376" s="48">
        <f>D376/C376*100</f>
        <v>67.190356270687644</v>
      </c>
      <c r="F376" s="37"/>
      <c r="H376" s="100"/>
    </row>
    <row r="377" spans="1:12" s="213" customFormat="1" x14ac:dyDescent="0.2">
      <c r="A377" s="625" t="s">
        <v>171</v>
      </c>
      <c r="B377" s="626">
        <v>97000</v>
      </c>
      <c r="C377" s="627">
        <v>97000</v>
      </c>
      <c r="D377" s="628">
        <v>96799.6</v>
      </c>
      <c r="E377" s="629">
        <f t="shared" ref="E377" si="22">D377/C377*100</f>
        <v>99.793402061855673</v>
      </c>
      <c r="F377" s="208">
        <v>100041</v>
      </c>
      <c r="G377" s="209" t="s">
        <v>33</v>
      </c>
      <c r="H377" s="212"/>
    </row>
    <row r="378" spans="1:12" s="213" customFormat="1" x14ac:dyDescent="0.2">
      <c r="A378" s="257" t="s">
        <v>295</v>
      </c>
      <c r="B378" s="588">
        <v>300000</v>
      </c>
      <c r="C378" s="259">
        <v>0</v>
      </c>
      <c r="D378" s="258">
        <v>0</v>
      </c>
      <c r="E378" s="260">
        <v>0</v>
      </c>
      <c r="F378" s="208">
        <v>100046</v>
      </c>
      <c r="G378" s="209" t="s">
        <v>33</v>
      </c>
      <c r="H378" s="212"/>
    </row>
    <row r="379" spans="1:12" s="213" customFormat="1" x14ac:dyDescent="0.2">
      <c r="A379" s="261" t="s">
        <v>296</v>
      </c>
      <c r="B379" s="588">
        <v>1710000</v>
      </c>
      <c r="C379" s="259">
        <v>1517000</v>
      </c>
      <c r="D379" s="258">
        <v>450120</v>
      </c>
      <c r="E379" s="260">
        <f>D379/C379*100</f>
        <v>29.671720500988798</v>
      </c>
      <c r="F379" s="208">
        <v>100048</v>
      </c>
      <c r="G379" s="209" t="s">
        <v>33</v>
      </c>
      <c r="H379" s="212"/>
    </row>
    <row r="380" spans="1:12" s="213" customFormat="1" x14ac:dyDescent="0.2">
      <c r="A380" s="261" t="s">
        <v>297</v>
      </c>
      <c r="B380" s="588">
        <v>0</v>
      </c>
      <c r="C380" s="259">
        <v>125587.1</v>
      </c>
      <c r="D380" s="258">
        <v>110894.93</v>
      </c>
      <c r="E380" s="260">
        <f>D380/C380*100</f>
        <v>88.301210872772756</v>
      </c>
      <c r="F380" s="208">
        <v>100109</v>
      </c>
      <c r="G380" s="209" t="s">
        <v>33</v>
      </c>
      <c r="H380" s="212"/>
    </row>
    <row r="381" spans="1:12" s="213" customFormat="1" x14ac:dyDescent="0.2">
      <c r="A381" s="262" t="s">
        <v>172</v>
      </c>
      <c r="B381" s="588">
        <v>2000000</v>
      </c>
      <c r="C381" s="259">
        <v>95159.9</v>
      </c>
      <c r="D381" s="263">
        <v>0</v>
      </c>
      <c r="E381" s="260">
        <v>0</v>
      </c>
      <c r="F381" s="214">
        <v>100130</v>
      </c>
      <c r="G381" s="209" t="s">
        <v>33</v>
      </c>
      <c r="H381" s="212"/>
    </row>
    <row r="382" spans="1:12" s="213" customFormat="1" x14ac:dyDescent="0.2">
      <c r="A382" s="257" t="s">
        <v>54</v>
      </c>
      <c r="B382" s="588">
        <v>0</v>
      </c>
      <c r="C382" s="258">
        <v>10933000</v>
      </c>
      <c r="D382" s="258">
        <v>3669643.72</v>
      </c>
      <c r="E382" s="260">
        <f>D382/C382*100</f>
        <v>33.564837830421659</v>
      </c>
      <c r="F382" s="208">
        <v>100674</v>
      </c>
      <c r="G382" s="209" t="s">
        <v>33</v>
      </c>
      <c r="H382" s="212"/>
    </row>
    <row r="383" spans="1:12" s="213" customFormat="1" x14ac:dyDescent="0.2">
      <c r="A383" s="257" t="s">
        <v>55</v>
      </c>
      <c r="B383" s="588">
        <v>0</v>
      </c>
      <c r="C383" s="258">
        <v>6000000</v>
      </c>
      <c r="D383" s="258">
        <v>4080450.25</v>
      </c>
      <c r="E383" s="260">
        <f>D383/C383*100</f>
        <v>68.007504166666664</v>
      </c>
      <c r="F383" s="208">
        <v>100675</v>
      </c>
      <c r="G383" s="209" t="s">
        <v>33</v>
      </c>
      <c r="H383" s="212"/>
    </row>
    <row r="384" spans="1:12" s="213" customFormat="1" x14ac:dyDescent="0.2">
      <c r="A384" s="257" t="s">
        <v>44</v>
      </c>
      <c r="B384" s="588">
        <v>0</v>
      </c>
      <c r="C384" s="258">
        <v>111803</v>
      </c>
      <c r="D384" s="258">
        <v>111803</v>
      </c>
      <c r="E384" s="260">
        <f>D384/C384*100</f>
        <v>100</v>
      </c>
      <c r="F384" s="208">
        <v>100677</v>
      </c>
      <c r="G384" s="209" t="s">
        <v>33</v>
      </c>
      <c r="H384" s="212"/>
    </row>
    <row r="385" spans="1:8" s="213" customFormat="1" x14ac:dyDescent="0.2">
      <c r="A385" s="257" t="s">
        <v>56</v>
      </c>
      <c r="B385" s="588">
        <v>100000</v>
      </c>
      <c r="C385" s="258">
        <v>0</v>
      </c>
      <c r="D385" s="258">
        <v>0</v>
      </c>
      <c r="E385" s="260">
        <v>0</v>
      </c>
      <c r="F385" s="208">
        <v>100680</v>
      </c>
      <c r="G385" s="209" t="s">
        <v>33</v>
      </c>
      <c r="H385" s="212"/>
    </row>
    <row r="386" spans="1:8" s="213" customFormat="1" x14ac:dyDescent="0.2">
      <c r="A386" s="262" t="s">
        <v>57</v>
      </c>
      <c r="B386" s="588">
        <v>121000</v>
      </c>
      <c r="C386" s="259">
        <v>7121000</v>
      </c>
      <c r="D386" s="263">
        <v>4384123.2699999996</v>
      </c>
      <c r="E386" s="260">
        <f>D386/C386*100</f>
        <v>61.566118101390245</v>
      </c>
      <c r="F386" s="214">
        <v>100906</v>
      </c>
      <c r="G386" s="209" t="s">
        <v>33</v>
      </c>
      <c r="H386" s="212"/>
    </row>
    <row r="387" spans="1:8" s="213" customFormat="1" x14ac:dyDescent="0.2">
      <c r="A387" s="262" t="s">
        <v>58</v>
      </c>
      <c r="B387" s="588">
        <v>552000</v>
      </c>
      <c r="C387" s="259">
        <v>552000</v>
      </c>
      <c r="D387" s="263">
        <v>135664.78</v>
      </c>
      <c r="E387" s="260">
        <f>D387/C387*100</f>
        <v>24.576952898550726</v>
      </c>
      <c r="F387" s="214">
        <v>100907</v>
      </c>
      <c r="G387" s="209" t="s">
        <v>33</v>
      </c>
      <c r="H387" s="212"/>
    </row>
    <row r="388" spans="1:8" s="213" customFormat="1" x14ac:dyDescent="0.2">
      <c r="A388" s="262" t="s">
        <v>59</v>
      </c>
      <c r="B388" s="588">
        <v>979000</v>
      </c>
      <c r="C388" s="259">
        <v>979000</v>
      </c>
      <c r="D388" s="263">
        <v>5445</v>
      </c>
      <c r="E388" s="260">
        <f>D388/C388*100</f>
        <v>0.5561797752808989</v>
      </c>
      <c r="F388" s="214">
        <v>100908</v>
      </c>
      <c r="G388" s="209" t="s">
        <v>33</v>
      </c>
      <c r="H388" s="212"/>
    </row>
    <row r="389" spans="1:8" s="213" customFormat="1" x14ac:dyDescent="0.2">
      <c r="A389" s="262" t="s">
        <v>76</v>
      </c>
      <c r="B389" s="588">
        <v>140000</v>
      </c>
      <c r="C389" s="258">
        <v>25140000</v>
      </c>
      <c r="D389" s="263">
        <v>21878237.940000001</v>
      </c>
      <c r="E389" s="260">
        <f>D389/C389*100</f>
        <v>87.025608353221955</v>
      </c>
      <c r="F389" s="214">
        <v>100955</v>
      </c>
      <c r="G389" s="209" t="s">
        <v>33</v>
      </c>
      <c r="H389" s="212"/>
    </row>
    <row r="390" spans="1:8" s="213" customFormat="1" x14ac:dyDescent="0.2">
      <c r="A390" s="262" t="s">
        <v>77</v>
      </c>
      <c r="B390" s="588">
        <v>100000</v>
      </c>
      <c r="C390" s="258">
        <v>0</v>
      </c>
      <c r="D390" s="263">
        <v>0</v>
      </c>
      <c r="E390" s="260">
        <v>0</v>
      </c>
      <c r="F390" s="214">
        <v>100957</v>
      </c>
      <c r="G390" s="209" t="s">
        <v>33</v>
      </c>
      <c r="H390" s="212"/>
    </row>
    <row r="391" spans="1:8" s="213" customFormat="1" x14ac:dyDescent="0.2">
      <c r="A391" s="262" t="s">
        <v>78</v>
      </c>
      <c r="B391" s="588">
        <v>610000</v>
      </c>
      <c r="C391" s="258">
        <v>610000</v>
      </c>
      <c r="D391" s="263">
        <v>149556</v>
      </c>
      <c r="E391" s="260">
        <f>D391/C391*100</f>
        <v>24.517377049180329</v>
      </c>
      <c r="F391" s="214">
        <v>100958</v>
      </c>
      <c r="G391" s="209" t="s">
        <v>33</v>
      </c>
      <c r="H391" s="212"/>
    </row>
    <row r="392" spans="1:8" s="213" customFormat="1" x14ac:dyDescent="0.2">
      <c r="A392" s="262" t="s">
        <v>79</v>
      </c>
      <c r="B392" s="588">
        <v>738000</v>
      </c>
      <c r="C392" s="258">
        <v>818374</v>
      </c>
      <c r="D392" s="263">
        <v>815998</v>
      </c>
      <c r="E392" s="260">
        <f>D392/C392*100</f>
        <v>99.709668195714912</v>
      </c>
      <c r="F392" s="214">
        <v>100959</v>
      </c>
      <c r="G392" s="209" t="s">
        <v>33</v>
      </c>
      <c r="H392" s="212"/>
    </row>
    <row r="393" spans="1:8" s="213" customFormat="1" x14ac:dyDescent="0.2">
      <c r="A393" s="262" t="s">
        <v>80</v>
      </c>
      <c r="B393" s="588">
        <v>3265000</v>
      </c>
      <c r="C393" s="258">
        <v>0</v>
      </c>
      <c r="D393" s="263">
        <v>0</v>
      </c>
      <c r="E393" s="260">
        <v>0</v>
      </c>
      <c r="F393" s="214">
        <v>100960</v>
      </c>
      <c r="G393" s="209" t="s">
        <v>33</v>
      </c>
    </row>
    <row r="394" spans="1:8" s="213" customFormat="1" x14ac:dyDescent="0.2">
      <c r="A394" s="262" t="s">
        <v>81</v>
      </c>
      <c r="B394" s="588">
        <v>992000</v>
      </c>
      <c r="C394" s="258">
        <v>0</v>
      </c>
      <c r="D394" s="263">
        <v>0</v>
      </c>
      <c r="E394" s="260">
        <v>0</v>
      </c>
      <c r="F394" s="214">
        <v>100961</v>
      </c>
      <c r="G394" s="209" t="s">
        <v>33</v>
      </c>
    </row>
    <row r="395" spans="1:8" s="213" customFormat="1" x14ac:dyDescent="0.2">
      <c r="A395" s="262" t="s">
        <v>173</v>
      </c>
      <c r="B395" s="588">
        <v>500000</v>
      </c>
      <c r="C395" s="258">
        <v>0</v>
      </c>
      <c r="D395" s="263">
        <v>0</v>
      </c>
      <c r="E395" s="260">
        <v>0</v>
      </c>
      <c r="F395" s="214">
        <v>101081</v>
      </c>
      <c r="G395" s="209" t="s">
        <v>33</v>
      </c>
      <c r="H395" s="210"/>
    </row>
    <row r="396" spans="1:8" s="213" customFormat="1" x14ac:dyDescent="0.2">
      <c r="A396" s="262" t="s">
        <v>174</v>
      </c>
      <c r="B396" s="588">
        <v>700000</v>
      </c>
      <c r="C396" s="258">
        <v>418853.6</v>
      </c>
      <c r="D396" s="263">
        <v>418853.6</v>
      </c>
      <c r="E396" s="260">
        <f>D396/C396*100</f>
        <v>100</v>
      </c>
      <c r="F396" s="214">
        <v>101082</v>
      </c>
      <c r="G396" s="209" t="s">
        <v>33</v>
      </c>
      <c r="H396" s="210"/>
    </row>
    <row r="397" spans="1:8" s="213" customFormat="1" x14ac:dyDescent="0.2">
      <c r="A397" s="262" t="s">
        <v>175</v>
      </c>
      <c r="B397" s="588">
        <v>800000</v>
      </c>
      <c r="C397" s="258">
        <v>938416</v>
      </c>
      <c r="D397" s="263">
        <v>938416</v>
      </c>
      <c r="E397" s="260">
        <f>D397/C397*100</f>
        <v>100</v>
      </c>
      <c r="F397" s="214">
        <v>101083</v>
      </c>
      <c r="G397" s="209" t="s">
        <v>33</v>
      </c>
      <c r="H397" s="210"/>
    </row>
    <row r="398" spans="1:8" s="213" customFormat="1" ht="13.5" thickBot="1" x14ac:dyDescent="0.25">
      <c r="A398" s="264" t="s">
        <v>298</v>
      </c>
      <c r="B398" s="589">
        <v>0</v>
      </c>
      <c r="C398" s="265">
        <v>48400</v>
      </c>
      <c r="D398" s="266">
        <v>48400</v>
      </c>
      <c r="E398" s="267">
        <f>D398/C398*100</f>
        <v>100</v>
      </c>
      <c r="F398" s="214">
        <v>101191</v>
      </c>
      <c r="G398" s="209" t="s">
        <v>33</v>
      </c>
      <c r="H398" s="210"/>
    </row>
    <row r="399" spans="1:8" s="220" customFormat="1" ht="13.5" thickTop="1" x14ac:dyDescent="0.2">
      <c r="B399" s="585"/>
      <c r="E399" s="221"/>
      <c r="F399" s="222"/>
      <c r="G399" s="223"/>
      <c r="H399" s="223"/>
    </row>
    <row r="400" spans="1:8" s="220" customFormat="1" ht="15.75" thickBot="1" x14ac:dyDescent="0.25">
      <c r="A400" s="224" t="s">
        <v>62</v>
      </c>
      <c r="B400" s="32"/>
      <c r="C400" s="211"/>
      <c r="D400" s="211"/>
      <c r="E400" s="225" t="s">
        <v>18</v>
      </c>
      <c r="F400" s="222"/>
      <c r="G400" s="223"/>
      <c r="H400" s="223"/>
    </row>
    <row r="401" spans="1:8" s="220" customFormat="1" ht="14.25" thickTop="1" thickBot="1" x14ac:dyDescent="0.25">
      <c r="A401" s="215" t="s">
        <v>5</v>
      </c>
      <c r="B401" s="42" t="s">
        <v>0</v>
      </c>
      <c r="C401" s="217" t="s">
        <v>1</v>
      </c>
      <c r="D401" s="218" t="s">
        <v>4</v>
      </c>
      <c r="E401" s="219" t="s">
        <v>6</v>
      </c>
      <c r="F401" s="222"/>
      <c r="G401" s="223"/>
      <c r="H401" s="223"/>
    </row>
    <row r="402" spans="1:8" s="220" customFormat="1" ht="15.75" thickTop="1" x14ac:dyDescent="0.2">
      <c r="A402" s="226" t="s">
        <v>11</v>
      </c>
      <c r="B402" s="590">
        <f>SUM(B403:B476)</f>
        <v>75929000</v>
      </c>
      <c r="C402" s="590">
        <f t="shared" ref="C402:D402" si="23">SUM(C403:C476)</f>
        <v>269659748.06</v>
      </c>
      <c r="D402" s="590">
        <f t="shared" si="23"/>
        <v>269659748.32999998</v>
      </c>
      <c r="E402" s="227">
        <f t="shared" ref="E402:E476" si="24">D402/C402*100</f>
        <v>100.00000010012617</v>
      </c>
      <c r="F402" s="222"/>
      <c r="G402" s="223"/>
      <c r="H402" s="223"/>
    </row>
    <row r="403" spans="1:8" s="220" customFormat="1" x14ac:dyDescent="0.2">
      <c r="A403" s="630" t="s">
        <v>432</v>
      </c>
      <c r="B403" s="613">
        <v>0</v>
      </c>
      <c r="C403" s="631">
        <v>13000000</v>
      </c>
      <c r="D403" s="631">
        <v>13000000</v>
      </c>
      <c r="E403" s="629">
        <f t="shared" si="24"/>
        <v>100</v>
      </c>
      <c r="F403" s="229" t="s">
        <v>63</v>
      </c>
      <c r="G403" s="228" t="s">
        <v>35</v>
      </c>
      <c r="H403" s="230">
        <f>SUM(D403)</f>
        <v>13000000</v>
      </c>
    </row>
    <row r="404" spans="1:8" s="220" customFormat="1" x14ac:dyDescent="0.2">
      <c r="A404" s="523" t="s">
        <v>231</v>
      </c>
      <c r="B404" s="243">
        <v>200000</v>
      </c>
      <c r="C404" s="524">
        <v>200000</v>
      </c>
      <c r="D404" s="524">
        <v>200000</v>
      </c>
      <c r="E404" s="260">
        <f t="shared" si="24"/>
        <v>100</v>
      </c>
      <c r="F404" s="229" t="s">
        <v>63</v>
      </c>
      <c r="G404" s="228" t="s">
        <v>35</v>
      </c>
    </row>
    <row r="405" spans="1:8" s="220" customFormat="1" x14ac:dyDescent="0.2">
      <c r="A405" s="523" t="s">
        <v>233</v>
      </c>
      <c r="B405" s="243">
        <v>200000</v>
      </c>
      <c r="C405" s="524">
        <v>200000</v>
      </c>
      <c r="D405" s="524">
        <v>200000</v>
      </c>
      <c r="E405" s="260">
        <f t="shared" si="24"/>
        <v>100</v>
      </c>
      <c r="F405" s="229" t="s">
        <v>63</v>
      </c>
      <c r="G405" s="228" t="s">
        <v>35</v>
      </c>
    </row>
    <row r="406" spans="1:8" s="220" customFormat="1" x14ac:dyDescent="0.2">
      <c r="A406" s="523" t="s">
        <v>234</v>
      </c>
      <c r="B406" s="243">
        <v>100000</v>
      </c>
      <c r="C406" s="524">
        <v>100000</v>
      </c>
      <c r="D406" s="524">
        <v>100000</v>
      </c>
      <c r="E406" s="260">
        <f t="shared" si="24"/>
        <v>100</v>
      </c>
      <c r="F406" s="229" t="s">
        <v>63</v>
      </c>
      <c r="G406" s="228" t="s">
        <v>35</v>
      </c>
      <c r="H406" s="223"/>
    </row>
    <row r="407" spans="1:8" s="220" customFormat="1" x14ac:dyDescent="0.2">
      <c r="A407" s="523" t="s">
        <v>235</v>
      </c>
      <c r="B407" s="243">
        <v>200000</v>
      </c>
      <c r="C407" s="524">
        <v>200000</v>
      </c>
      <c r="D407" s="524">
        <v>200000</v>
      </c>
      <c r="E407" s="260">
        <f t="shared" si="24"/>
        <v>100</v>
      </c>
      <c r="F407" s="229" t="s">
        <v>63</v>
      </c>
      <c r="G407" s="228" t="s">
        <v>35</v>
      </c>
      <c r="H407" s="230">
        <f>SUM(D404:D407)</f>
        <v>700000</v>
      </c>
    </row>
    <row r="408" spans="1:8" s="220" customFormat="1" x14ac:dyDescent="0.2">
      <c r="A408" s="523" t="s">
        <v>236</v>
      </c>
      <c r="B408" s="243">
        <v>250000</v>
      </c>
      <c r="C408" s="509">
        <v>250000</v>
      </c>
      <c r="D408" s="509">
        <v>250000</v>
      </c>
      <c r="E408" s="260">
        <f t="shared" si="24"/>
        <v>100</v>
      </c>
      <c r="F408" s="229" t="s">
        <v>63</v>
      </c>
      <c r="G408" s="228" t="s">
        <v>420</v>
      </c>
      <c r="H408" s="223"/>
    </row>
    <row r="409" spans="1:8" s="220" customFormat="1" x14ac:dyDescent="0.2">
      <c r="A409" s="523" t="s">
        <v>237</v>
      </c>
      <c r="B409" s="243">
        <v>140000</v>
      </c>
      <c r="C409" s="509">
        <v>140000</v>
      </c>
      <c r="D409" s="509">
        <v>140000</v>
      </c>
      <c r="E409" s="260">
        <f t="shared" si="24"/>
        <v>100</v>
      </c>
      <c r="F409" s="229" t="s">
        <v>63</v>
      </c>
      <c r="G409" s="228" t="s">
        <v>420</v>
      </c>
      <c r="H409" s="223"/>
    </row>
    <row r="410" spans="1:8" s="220" customFormat="1" x14ac:dyDescent="0.2">
      <c r="A410" s="523" t="s">
        <v>238</v>
      </c>
      <c r="B410" s="243">
        <v>150000</v>
      </c>
      <c r="C410" s="509">
        <v>150000</v>
      </c>
      <c r="D410" s="509">
        <v>150000</v>
      </c>
      <c r="E410" s="260">
        <f t="shared" si="24"/>
        <v>100</v>
      </c>
      <c r="F410" s="229" t="s">
        <v>63</v>
      </c>
      <c r="G410" s="228" t="s">
        <v>420</v>
      </c>
      <c r="H410" s="223"/>
    </row>
    <row r="411" spans="1:8" s="220" customFormat="1" x14ac:dyDescent="0.2">
      <c r="A411" s="523" t="s">
        <v>239</v>
      </c>
      <c r="B411" s="243">
        <v>240000</v>
      </c>
      <c r="C411" s="509">
        <v>240000</v>
      </c>
      <c r="D411" s="509">
        <v>240000</v>
      </c>
      <c r="E411" s="260">
        <f t="shared" si="24"/>
        <v>100</v>
      </c>
      <c r="F411" s="229" t="s">
        <v>63</v>
      </c>
      <c r="G411" s="228" t="s">
        <v>420</v>
      </c>
      <c r="H411" s="223"/>
    </row>
    <row r="412" spans="1:8" s="220" customFormat="1" x14ac:dyDescent="0.2">
      <c r="A412" s="523" t="s">
        <v>240</v>
      </c>
      <c r="B412" s="243">
        <v>140000</v>
      </c>
      <c r="C412" s="509">
        <v>140000</v>
      </c>
      <c r="D412" s="509">
        <v>140000</v>
      </c>
      <c r="E412" s="260">
        <f t="shared" si="24"/>
        <v>100</v>
      </c>
      <c r="F412" s="229" t="s">
        <v>63</v>
      </c>
      <c r="G412" s="228" t="s">
        <v>420</v>
      </c>
    </row>
    <row r="413" spans="1:8" s="220" customFormat="1" x14ac:dyDescent="0.2">
      <c r="A413" s="523" t="s">
        <v>241</v>
      </c>
      <c r="B413" s="243">
        <v>260000</v>
      </c>
      <c r="C413" s="509">
        <v>260000</v>
      </c>
      <c r="D413" s="509">
        <v>260000</v>
      </c>
      <c r="E413" s="260">
        <f t="shared" si="24"/>
        <v>100</v>
      </c>
      <c r="F413" s="229" t="s">
        <v>63</v>
      </c>
      <c r="G413" s="228" t="s">
        <v>420</v>
      </c>
      <c r="H413" s="230">
        <f>SUM(D408:D413)</f>
        <v>1180000</v>
      </c>
    </row>
    <row r="414" spans="1:8" s="220" customFormat="1" x14ac:dyDescent="0.2">
      <c r="A414" s="523" t="s">
        <v>192</v>
      </c>
      <c r="B414" s="243">
        <v>7885000</v>
      </c>
      <c r="C414" s="509">
        <v>7885000</v>
      </c>
      <c r="D414" s="509">
        <v>7885000</v>
      </c>
      <c r="E414" s="260">
        <f t="shared" si="24"/>
        <v>100</v>
      </c>
      <c r="F414" s="229" t="s">
        <v>63</v>
      </c>
      <c r="G414" s="228" t="s">
        <v>35</v>
      </c>
      <c r="H414" s="223"/>
    </row>
    <row r="415" spans="1:8" s="220" customFormat="1" x14ac:dyDescent="0.2">
      <c r="A415" s="523" t="s">
        <v>242</v>
      </c>
      <c r="B415" s="243">
        <v>24235000</v>
      </c>
      <c r="C415" s="509">
        <v>24235000</v>
      </c>
      <c r="D415" s="509">
        <v>24235000</v>
      </c>
      <c r="E415" s="260">
        <f t="shared" si="24"/>
        <v>100</v>
      </c>
      <c r="F415" s="229" t="s">
        <v>63</v>
      </c>
      <c r="G415" s="228" t="s">
        <v>35</v>
      </c>
      <c r="H415" s="223"/>
    </row>
    <row r="416" spans="1:8" s="220" customFormat="1" x14ac:dyDescent="0.2">
      <c r="A416" s="523" t="s">
        <v>389</v>
      </c>
      <c r="B416" s="243">
        <v>29941000</v>
      </c>
      <c r="C416" s="509">
        <v>29941000</v>
      </c>
      <c r="D416" s="509">
        <v>29941000</v>
      </c>
      <c r="E416" s="260">
        <f t="shared" si="24"/>
        <v>100</v>
      </c>
      <c r="F416" s="229" t="s">
        <v>63</v>
      </c>
      <c r="G416" s="228" t="s">
        <v>35</v>
      </c>
      <c r="H416" s="230">
        <f>SUM(D414:D416)</f>
        <v>62061000</v>
      </c>
    </row>
    <row r="417" spans="1:8" s="220" customFormat="1" x14ac:dyDescent="0.2">
      <c r="A417" s="523" t="s">
        <v>243</v>
      </c>
      <c r="B417" s="243">
        <v>1288000</v>
      </c>
      <c r="C417" s="509">
        <v>1288000</v>
      </c>
      <c r="D417" s="509">
        <v>1288000</v>
      </c>
      <c r="E417" s="260">
        <f t="shared" si="24"/>
        <v>100</v>
      </c>
      <c r="F417" s="229" t="s">
        <v>63</v>
      </c>
      <c r="G417" s="228" t="s">
        <v>35</v>
      </c>
      <c r="H417" s="223"/>
    </row>
    <row r="418" spans="1:8" s="220" customFormat="1" x14ac:dyDescent="0.2">
      <c r="A418" s="523" t="s">
        <v>244</v>
      </c>
      <c r="B418" s="243">
        <v>76000</v>
      </c>
      <c r="C418" s="509">
        <v>76000</v>
      </c>
      <c r="D418" s="509">
        <v>76000</v>
      </c>
      <c r="E418" s="260">
        <f t="shared" si="24"/>
        <v>100</v>
      </c>
      <c r="F418" s="229" t="s">
        <v>63</v>
      </c>
      <c r="G418" s="228" t="s">
        <v>35</v>
      </c>
      <c r="H418" s="223"/>
    </row>
    <row r="419" spans="1:8" s="220" customFormat="1" x14ac:dyDescent="0.2">
      <c r="A419" s="523" t="s">
        <v>245</v>
      </c>
      <c r="B419" s="243">
        <v>2800000</v>
      </c>
      <c r="C419" s="509">
        <v>2800000</v>
      </c>
      <c r="D419" s="509">
        <v>2800000</v>
      </c>
      <c r="E419" s="260">
        <f t="shared" si="24"/>
        <v>100</v>
      </c>
      <c r="F419" s="229" t="s">
        <v>63</v>
      </c>
      <c r="G419" s="228" t="s">
        <v>35</v>
      </c>
      <c r="H419" s="223"/>
    </row>
    <row r="420" spans="1:8" s="220" customFormat="1" x14ac:dyDescent="0.2">
      <c r="A420" s="523" t="s">
        <v>246</v>
      </c>
      <c r="B420" s="243">
        <v>1400000</v>
      </c>
      <c r="C420" s="509">
        <v>1400000</v>
      </c>
      <c r="D420" s="509">
        <v>1400000</v>
      </c>
      <c r="E420" s="260">
        <f t="shared" si="24"/>
        <v>100</v>
      </c>
      <c r="F420" s="229" t="s">
        <v>63</v>
      </c>
      <c r="G420" s="228" t="s">
        <v>35</v>
      </c>
      <c r="H420" s="223"/>
    </row>
    <row r="421" spans="1:8" s="220" customFormat="1" x14ac:dyDescent="0.2">
      <c r="A421" s="523" t="s">
        <v>193</v>
      </c>
      <c r="B421" s="243">
        <v>1600000</v>
      </c>
      <c r="C421" s="509">
        <v>1600000</v>
      </c>
      <c r="D421" s="509">
        <v>1600000</v>
      </c>
      <c r="E421" s="260">
        <f t="shared" si="24"/>
        <v>100</v>
      </c>
      <c r="F421" s="229" t="s">
        <v>63</v>
      </c>
      <c r="G421" s="228" t="s">
        <v>35</v>
      </c>
      <c r="H421" s="223"/>
    </row>
    <row r="422" spans="1:8" s="220" customFormat="1" x14ac:dyDescent="0.2">
      <c r="A422" s="523" t="s">
        <v>247</v>
      </c>
      <c r="B422" s="243">
        <v>4824000</v>
      </c>
      <c r="C422" s="509">
        <v>4824000</v>
      </c>
      <c r="D422" s="509">
        <v>4824000</v>
      </c>
      <c r="E422" s="260">
        <f t="shared" si="24"/>
        <v>100</v>
      </c>
      <c r="F422" s="229" t="s">
        <v>63</v>
      </c>
      <c r="G422" s="228" t="s">
        <v>35</v>
      </c>
      <c r="H422" s="230">
        <f>SUM(D417:D422)</f>
        <v>11988000</v>
      </c>
    </row>
    <row r="423" spans="1:8" s="220" customFormat="1" x14ac:dyDescent="0.2">
      <c r="A423" s="523" t="s">
        <v>390</v>
      </c>
      <c r="B423" s="509">
        <v>0</v>
      </c>
      <c r="C423" s="509">
        <v>5660000</v>
      </c>
      <c r="D423" s="509">
        <v>5660000</v>
      </c>
      <c r="E423" s="260">
        <f t="shared" si="24"/>
        <v>100</v>
      </c>
      <c r="F423" s="229" t="s">
        <v>63</v>
      </c>
      <c r="G423" s="228" t="s">
        <v>421</v>
      </c>
      <c r="H423" s="223"/>
    </row>
    <row r="424" spans="1:8" s="220" customFormat="1" x14ac:dyDescent="0.2">
      <c r="A424" s="523" t="s">
        <v>391</v>
      </c>
      <c r="B424" s="509">
        <v>0</v>
      </c>
      <c r="C424" s="509">
        <v>2329800</v>
      </c>
      <c r="D424" s="509">
        <v>2329800</v>
      </c>
      <c r="E424" s="260">
        <f t="shared" si="24"/>
        <v>100</v>
      </c>
      <c r="F424" s="229" t="s">
        <v>63</v>
      </c>
      <c r="G424" s="228" t="s">
        <v>421</v>
      </c>
      <c r="H424" s="223"/>
    </row>
    <row r="425" spans="1:8" s="220" customFormat="1" x14ac:dyDescent="0.2">
      <c r="A425" s="523" t="s">
        <v>237</v>
      </c>
      <c r="B425" s="509">
        <v>0</v>
      </c>
      <c r="C425" s="509">
        <v>2434950</v>
      </c>
      <c r="D425" s="509">
        <v>2434950</v>
      </c>
      <c r="E425" s="260">
        <f t="shared" si="24"/>
        <v>100</v>
      </c>
      <c r="F425" s="229" t="s">
        <v>63</v>
      </c>
      <c r="G425" s="228" t="s">
        <v>421</v>
      </c>
      <c r="H425" s="223"/>
    </row>
    <row r="426" spans="1:8" s="220" customFormat="1" x14ac:dyDescent="0.2">
      <c r="A426" s="523" t="s">
        <v>238</v>
      </c>
      <c r="B426" s="509">
        <v>0</v>
      </c>
      <c r="C426" s="509">
        <v>1556850</v>
      </c>
      <c r="D426" s="509">
        <v>1556850</v>
      </c>
      <c r="E426" s="260">
        <f t="shared" si="24"/>
        <v>100</v>
      </c>
      <c r="F426" s="229" t="s">
        <v>63</v>
      </c>
      <c r="G426" s="228" t="s">
        <v>421</v>
      </c>
      <c r="H426" s="223"/>
    </row>
    <row r="427" spans="1:8" s="220" customFormat="1" x14ac:dyDescent="0.2">
      <c r="A427" s="523" t="s">
        <v>239</v>
      </c>
      <c r="B427" s="509">
        <v>0</v>
      </c>
      <c r="C427" s="509">
        <v>1902450</v>
      </c>
      <c r="D427" s="509">
        <v>1902450</v>
      </c>
      <c r="E427" s="260">
        <f t="shared" si="24"/>
        <v>100</v>
      </c>
      <c r="F427" s="229" t="s">
        <v>63</v>
      </c>
      <c r="G427" s="228" t="s">
        <v>421</v>
      </c>
      <c r="H427" s="223"/>
    </row>
    <row r="428" spans="1:8" s="220" customFormat="1" x14ac:dyDescent="0.2">
      <c r="A428" s="523" t="s">
        <v>392</v>
      </c>
      <c r="B428" s="509">
        <v>0</v>
      </c>
      <c r="C428" s="509">
        <v>2904900</v>
      </c>
      <c r="D428" s="509">
        <v>2904900</v>
      </c>
      <c r="E428" s="260">
        <f t="shared" si="24"/>
        <v>100</v>
      </c>
      <c r="F428" s="229" t="s">
        <v>63</v>
      </c>
      <c r="G428" s="228" t="s">
        <v>421</v>
      </c>
    </row>
    <row r="429" spans="1:8" s="220" customFormat="1" x14ac:dyDescent="0.2">
      <c r="A429" s="523" t="s">
        <v>393</v>
      </c>
      <c r="B429" s="509">
        <v>0</v>
      </c>
      <c r="C429" s="509">
        <v>4210950</v>
      </c>
      <c r="D429" s="509">
        <v>4210950</v>
      </c>
      <c r="E429" s="260">
        <f t="shared" si="24"/>
        <v>100</v>
      </c>
      <c r="F429" s="229" t="s">
        <v>63</v>
      </c>
      <c r="G429" s="228" t="s">
        <v>421</v>
      </c>
      <c r="H429" s="223"/>
    </row>
    <row r="430" spans="1:8" s="220" customFormat="1" x14ac:dyDescent="0.2">
      <c r="A430" s="523" t="s">
        <v>394</v>
      </c>
      <c r="B430" s="509">
        <v>0</v>
      </c>
      <c r="C430" s="509">
        <v>293750</v>
      </c>
      <c r="D430" s="509">
        <v>293750</v>
      </c>
      <c r="E430" s="260">
        <f t="shared" si="24"/>
        <v>100</v>
      </c>
      <c r="F430" s="229" t="s">
        <v>63</v>
      </c>
      <c r="G430" s="228" t="s">
        <v>421</v>
      </c>
      <c r="H430" s="223"/>
    </row>
    <row r="431" spans="1:8" s="220" customFormat="1" x14ac:dyDescent="0.2">
      <c r="A431" s="523" t="s">
        <v>395</v>
      </c>
      <c r="B431" s="509">
        <v>0</v>
      </c>
      <c r="C431" s="509">
        <v>386100</v>
      </c>
      <c r="D431" s="509">
        <v>386100</v>
      </c>
      <c r="E431" s="260">
        <f t="shared" si="24"/>
        <v>100</v>
      </c>
      <c r="F431" s="229" t="s">
        <v>63</v>
      </c>
      <c r="G431" s="228" t="s">
        <v>421</v>
      </c>
      <c r="H431" s="230"/>
    </row>
    <row r="432" spans="1:8" s="220" customFormat="1" x14ac:dyDescent="0.2">
      <c r="A432" s="523" t="s">
        <v>396</v>
      </c>
      <c r="B432" s="509">
        <v>0</v>
      </c>
      <c r="C432" s="509">
        <v>327550</v>
      </c>
      <c r="D432" s="509">
        <v>327550</v>
      </c>
      <c r="E432" s="260">
        <f t="shared" si="24"/>
        <v>100</v>
      </c>
      <c r="F432" s="229" t="s">
        <v>63</v>
      </c>
      <c r="G432" s="228" t="s">
        <v>421</v>
      </c>
      <c r="H432" s="230"/>
    </row>
    <row r="433" spans="1:8" s="220" customFormat="1" x14ac:dyDescent="0.2">
      <c r="A433" s="523" t="s">
        <v>397</v>
      </c>
      <c r="B433" s="509">
        <v>0</v>
      </c>
      <c r="C433" s="509">
        <v>891600</v>
      </c>
      <c r="D433" s="509">
        <v>891600</v>
      </c>
      <c r="E433" s="260">
        <f t="shared" si="24"/>
        <v>100</v>
      </c>
      <c r="F433" s="229" t="s">
        <v>63</v>
      </c>
      <c r="G433" s="228" t="s">
        <v>421</v>
      </c>
      <c r="H433" s="230"/>
    </row>
    <row r="434" spans="1:8" s="220" customFormat="1" x14ac:dyDescent="0.2">
      <c r="A434" s="523" t="s">
        <v>241</v>
      </c>
      <c r="B434" s="509">
        <v>0</v>
      </c>
      <c r="C434" s="509">
        <v>2261550</v>
      </c>
      <c r="D434" s="509">
        <v>2261550</v>
      </c>
      <c r="E434" s="260">
        <f t="shared" si="24"/>
        <v>100</v>
      </c>
      <c r="F434" s="229" t="s">
        <v>63</v>
      </c>
      <c r="G434" s="228" t="s">
        <v>421</v>
      </c>
      <c r="H434" s="230"/>
    </row>
    <row r="435" spans="1:8" s="220" customFormat="1" x14ac:dyDescent="0.2">
      <c r="A435" s="523" t="s">
        <v>398</v>
      </c>
      <c r="B435" s="509">
        <v>0</v>
      </c>
      <c r="C435" s="509">
        <v>12894000</v>
      </c>
      <c r="D435" s="509">
        <v>12894000</v>
      </c>
      <c r="E435" s="260">
        <f t="shared" si="24"/>
        <v>100</v>
      </c>
      <c r="F435" s="229" t="s">
        <v>63</v>
      </c>
      <c r="G435" s="228" t="s">
        <v>421</v>
      </c>
      <c r="H435" s="230"/>
    </row>
    <row r="436" spans="1:8" s="220" customFormat="1" ht="13.5" thickBot="1" x14ac:dyDescent="0.25">
      <c r="A436" s="644" t="s">
        <v>399</v>
      </c>
      <c r="B436" s="645">
        <v>0</v>
      </c>
      <c r="C436" s="645">
        <v>797550</v>
      </c>
      <c r="D436" s="645">
        <v>797550</v>
      </c>
      <c r="E436" s="646">
        <f t="shared" si="24"/>
        <v>100</v>
      </c>
      <c r="F436" s="229" t="s">
        <v>63</v>
      </c>
      <c r="G436" s="228" t="s">
        <v>421</v>
      </c>
      <c r="H436" s="230">
        <f>SUM(D423:D436)</f>
        <v>38852000</v>
      </c>
    </row>
    <row r="437" spans="1:8" s="220" customFormat="1" ht="13.5" thickTop="1" x14ac:dyDescent="0.2">
      <c r="A437" s="647"/>
      <c r="B437" s="648"/>
      <c r="C437" s="648"/>
      <c r="D437" s="648"/>
      <c r="E437" s="649"/>
      <c r="F437" s="229"/>
      <c r="G437" s="228"/>
      <c r="H437" s="230"/>
    </row>
    <row r="438" spans="1:8" s="220" customFormat="1" ht="15.75" thickBot="1" x14ac:dyDescent="0.25">
      <c r="A438" s="650"/>
      <c r="B438" s="581"/>
      <c r="C438" s="651"/>
      <c r="D438" s="651"/>
      <c r="E438" s="652" t="s">
        <v>18</v>
      </c>
      <c r="F438" s="229"/>
      <c r="G438" s="228"/>
      <c r="H438" s="230"/>
    </row>
    <row r="439" spans="1:8" s="220" customFormat="1" ht="14.25" thickTop="1" thickBot="1" x14ac:dyDescent="0.25">
      <c r="A439" s="215" t="s">
        <v>5</v>
      </c>
      <c r="B439" s="42" t="s">
        <v>0</v>
      </c>
      <c r="C439" s="217" t="s">
        <v>1</v>
      </c>
      <c r="D439" s="218" t="s">
        <v>4</v>
      </c>
      <c r="E439" s="219" t="s">
        <v>6</v>
      </c>
      <c r="F439" s="229"/>
      <c r="G439" s="228"/>
      <c r="H439" s="230"/>
    </row>
    <row r="440" spans="1:8" s="220" customFormat="1" ht="13.5" thickTop="1" x14ac:dyDescent="0.2">
      <c r="A440" s="523" t="s">
        <v>400</v>
      </c>
      <c r="B440" s="509">
        <v>0</v>
      </c>
      <c r="C440" s="509">
        <v>27700000</v>
      </c>
      <c r="D440" s="509">
        <v>27700000</v>
      </c>
      <c r="E440" s="260">
        <f t="shared" si="24"/>
        <v>100</v>
      </c>
      <c r="F440" s="229" t="s">
        <v>63</v>
      </c>
      <c r="G440" s="228" t="s">
        <v>35</v>
      </c>
      <c r="H440" s="230"/>
    </row>
    <row r="441" spans="1:8" s="220" customFormat="1" x14ac:dyDescent="0.2">
      <c r="A441" s="523" t="s">
        <v>401</v>
      </c>
      <c r="B441" s="509">
        <v>0</v>
      </c>
      <c r="C441" s="509">
        <v>27300000</v>
      </c>
      <c r="D441" s="509">
        <v>27300000</v>
      </c>
      <c r="E441" s="260">
        <f t="shared" si="24"/>
        <v>100</v>
      </c>
      <c r="F441" s="229" t="s">
        <v>63</v>
      </c>
      <c r="G441" s="228" t="s">
        <v>35</v>
      </c>
      <c r="H441" s="230"/>
    </row>
    <row r="442" spans="1:8" s="220" customFormat="1" x14ac:dyDescent="0.2">
      <c r="A442" s="523" t="s">
        <v>402</v>
      </c>
      <c r="B442" s="509">
        <v>0</v>
      </c>
      <c r="C442" s="509">
        <v>7000000</v>
      </c>
      <c r="D442" s="509">
        <v>7000000</v>
      </c>
      <c r="E442" s="260">
        <f t="shared" si="24"/>
        <v>100</v>
      </c>
      <c r="F442" s="229" t="s">
        <v>63</v>
      </c>
      <c r="G442" s="228" t="s">
        <v>35</v>
      </c>
      <c r="H442" s="230"/>
    </row>
    <row r="443" spans="1:8" s="220" customFormat="1" x14ac:dyDescent="0.2">
      <c r="A443" s="523" t="s">
        <v>403</v>
      </c>
      <c r="B443" s="509">
        <v>0</v>
      </c>
      <c r="C443" s="509">
        <v>3300000</v>
      </c>
      <c r="D443" s="509">
        <v>3300000</v>
      </c>
      <c r="E443" s="260">
        <f t="shared" si="24"/>
        <v>100</v>
      </c>
      <c r="F443" s="229" t="s">
        <v>63</v>
      </c>
      <c r="G443" s="228" t="s">
        <v>35</v>
      </c>
      <c r="H443" s="230"/>
    </row>
    <row r="444" spans="1:8" s="220" customFormat="1" x14ac:dyDescent="0.2">
      <c r="A444" s="523" t="s">
        <v>404</v>
      </c>
      <c r="B444" s="509">
        <v>0</v>
      </c>
      <c r="C444" s="509">
        <v>3800000</v>
      </c>
      <c r="D444" s="509">
        <v>3800000</v>
      </c>
      <c r="E444" s="260">
        <f t="shared" si="24"/>
        <v>100</v>
      </c>
      <c r="F444" s="229" t="s">
        <v>63</v>
      </c>
      <c r="G444" s="228" t="s">
        <v>35</v>
      </c>
      <c r="H444" s="230"/>
    </row>
    <row r="445" spans="1:8" s="220" customFormat="1" x14ac:dyDescent="0.2">
      <c r="A445" s="523" t="s">
        <v>405</v>
      </c>
      <c r="B445" s="509">
        <v>0</v>
      </c>
      <c r="C445" s="509">
        <v>6200000</v>
      </c>
      <c r="D445" s="509">
        <v>6200000</v>
      </c>
      <c r="E445" s="260">
        <f t="shared" si="24"/>
        <v>100</v>
      </c>
      <c r="F445" s="229" t="s">
        <v>63</v>
      </c>
      <c r="G445" s="228" t="s">
        <v>35</v>
      </c>
      <c r="H445" s="230"/>
    </row>
    <row r="446" spans="1:8" s="220" customFormat="1" x14ac:dyDescent="0.2">
      <c r="A446" s="523" t="s">
        <v>406</v>
      </c>
      <c r="B446" s="509">
        <v>0</v>
      </c>
      <c r="C446" s="509">
        <v>17120000</v>
      </c>
      <c r="D446" s="509">
        <v>17120000</v>
      </c>
      <c r="E446" s="260">
        <f t="shared" si="24"/>
        <v>100</v>
      </c>
      <c r="F446" s="229" t="s">
        <v>63</v>
      </c>
      <c r="G446" s="228" t="s">
        <v>35</v>
      </c>
      <c r="H446" s="230">
        <f>SUM(D440:D446)</f>
        <v>92420000</v>
      </c>
    </row>
    <row r="447" spans="1:8" s="220" customFormat="1" x14ac:dyDescent="0.2">
      <c r="A447" s="523" t="s">
        <v>407</v>
      </c>
      <c r="B447" s="509">
        <v>0</v>
      </c>
      <c r="C447" s="509">
        <v>650000</v>
      </c>
      <c r="D447" s="509">
        <v>650000</v>
      </c>
      <c r="E447" s="260">
        <f t="shared" si="24"/>
        <v>100</v>
      </c>
      <c r="F447" s="229" t="s">
        <v>63</v>
      </c>
      <c r="G447" s="228" t="s">
        <v>35</v>
      </c>
      <c r="H447" s="230"/>
    </row>
    <row r="448" spans="1:8" s="220" customFormat="1" x14ac:dyDescent="0.2">
      <c r="A448" s="523" t="s">
        <v>408</v>
      </c>
      <c r="B448" s="509">
        <v>0</v>
      </c>
      <c r="C448" s="509">
        <v>650000</v>
      </c>
      <c r="D448" s="509">
        <v>650000</v>
      </c>
      <c r="E448" s="260">
        <f t="shared" si="24"/>
        <v>100</v>
      </c>
      <c r="F448" s="229" t="s">
        <v>63</v>
      </c>
      <c r="G448" s="228" t="s">
        <v>35</v>
      </c>
      <c r="H448" s="230"/>
    </row>
    <row r="449" spans="1:8" s="220" customFormat="1" x14ac:dyDescent="0.2">
      <c r="A449" s="525" t="s">
        <v>409</v>
      </c>
      <c r="B449" s="509">
        <v>0</v>
      </c>
      <c r="C449" s="509">
        <v>300000</v>
      </c>
      <c r="D449" s="509">
        <v>300000</v>
      </c>
      <c r="E449" s="260">
        <f t="shared" si="24"/>
        <v>100</v>
      </c>
      <c r="F449" s="229" t="s">
        <v>63</v>
      </c>
      <c r="G449" s="228" t="s">
        <v>35</v>
      </c>
      <c r="H449" s="230"/>
    </row>
    <row r="450" spans="1:8" s="220" customFormat="1" ht="25.5" x14ac:dyDescent="0.2">
      <c r="A450" s="525" t="s">
        <v>410</v>
      </c>
      <c r="B450" s="509">
        <v>0</v>
      </c>
      <c r="C450" s="509">
        <v>1300000</v>
      </c>
      <c r="D450" s="509">
        <v>1300000</v>
      </c>
      <c r="E450" s="260">
        <f t="shared" si="24"/>
        <v>100</v>
      </c>
      <c r="F450" s="229" t="s">
        <v>63</v>
      </c>
      <c r="G450" s="228" t="s">
        <v>35</v>
      </c>
      <c r="H450" s="223"/>
    </row>
    <row r="451" spans="1:8" s="220" customFormat="1" x14ac:dyDescent="0.2">
      <c r="A451" s="523" t="s">
        <v>411</v>
      </c>
      <c r="B451" s="509">
        <v>0</v>
      </c>
      <c r="C451" s="509">
        <v>1300000</v>
      </c>
      <c r="D451" s="509">
        <v>1300000</v>
      </c>
      <c r="E451" s="260">
        <f t="shared" si="24"/>
        <v>100</v>
      </c>
      <c r="F451" s="229" t="s">
        <v>63</v>
      </c>
      <c r="G451" s="228" t="s">
        <v>35</v>
      </c>
      <c r="H451" s="223"/>
    </row>
    <row r="452" spans="1:8" s="220" customFormat="1" x14ac:dyDescent="0.2">
      <c r="A452" s="523" t="s">
        <v>412</v>
      </c>
      <c r="B452" s="509">
        <v>0</v>
      </c>
      <c r="C452" s="509">
        <v>597000</v>
      </c>
      <c r="D452" s="509">
        <v>597000</v>
      </c>
      <c r="E452" s="260">
        <f t="shared" si="24"/>
        <v>100</v>
      </c>
      <c r="F452" s="229" t="s">
        <v>63</v>
      </c>
      <c r="G452" s="228" t="s">
        <v>35</v>
      </c>
      <c r="H452" s="230"/>
    </row>
    <row r="453" spans="1:8" s="220" customFormat="1" x14ac:dyDescent="0.2">
      <c r="A453" s="523" t="s">
        <v>413</v>
      </c>
      <c r="B453" s="509">
        <v>0</v>
      </c>
      <c r="C453" s="524">
        <v>780000</v>
      </c>
      <c r="D453" s="524">
        <v>780000</v>
      </c>
      <c r="E453" s="260">
        <f t="shared" si="24"/>
        <v>100</v>
      </c>
      <c r="F453" s="229" t="s">
        <v>63</v>
      </c>
      <c r="G453" s="228" t="s">
        <v>71</v>
      </c>
      <c r="H453" s="230"/>
    </row>
    <row r="454" spans="1:8" s="220" customFormat="1" x14ac:dyDescent="0.2">
      <c r="A454" s="523" t="s">
        <v>414</v>
      </c>
      <c r="B454" s="509">
        <v>0</v>
      </c>
      <c r="C454" s="524">
        <v>447000</v>
      </c>
      <c r="D454" s="524">
        <v>447000</v>
      </c>
      <c r="E454" s="260">
        <f t="shared" si="24"/>
        <v>100</v>
      </c>
      <c r="F454" s="229" t="s">
        <v>63</v>
      </c>
      <c r="G454" s="228" t="s">
        <v>71</v>
      </c>
      <c r="H454" s="230"/>
    </row>
    <row r="455" spans="1:8" s="220" customFormat="1" x14ac:dyDescent="0.2">
      <c r="A455" s="523" t="s">
        <v>415</v>
      </c>
      <c r="B455" s="509">
        <v>0</v>
      </c>
      <c r="C455" s="524">
        <v>1400000</v>
      </c>
      <c r="D455" s="524">
        <v>1400000</v>
      </c>
      <c r="E455" s="260">
        <f t="shared" si="24"/>
        <v>100</v>
      </c>
      <c r="F455" s="229" t="s">
        <v>63</v>
      </c>
      <c r="G455" s="228" t="s">
        <v>71</v>
      </c>
      <c r="H455" s="230"/>
    </row>
    <row r="456" spans="1:8" s="220" customFormat="1" x14ac:dyDescent="0.2">
      <c r="A456" s="523" t="s">
        <v>416</v>
      </c>
      <c r="B456" s="509">
        <v>0</v>
      </c>
      <c r="C456" s="524">
        <v>580000</v>
      </c>
      <c r="D456" s="524">
        <v>580000</v>
      </c>
      <c r="E456" s="260">
        <f t="shared" si="24"/>
        <v>100</v>
      </c>
      <c r="F456" s="229" t="s">
        <v>63</v>
      </c>
      <c r="G456" s="228" t="s">
        <v>71</v>
      </c>
      <c r="H456" s="230"/>
    </row>
    <row r="457" spans="1:8" s="220" customFormat="1" x14ac:dyDescent="0.2">
      <c r="A457" s="523" t="s">
        <v>417</v>
      </c>
      <c r="B457" s="509">
        <v>0</v>
      </c>
      <c r="C457" s="524">
        <v>650000</v>
      </c>
      <c r="D457" s="524">
        <v>650000</v>
      </c>
      <c r="E457" s="260">
        <f t="shared" si="24"/>
        <v>100</v>
      </c>
      <c r="F457" s="229" t="s">
        <v>63</v>
      </c>
      <c r="G457" s="228" t="s">
        <v>71</v>
      </c>
      <c r="H457" s="230"/>
    </row>
    <row r="458" spans="1:8" s="220" customFormat="1" x14ac:dyDescent="0.2">
      <c r="A458" s="523" t="s">
        <v>418</v>
      </c>
      <c r="B458" s="509">
        <v>0</v>
      </c>
      <c r="C458" s="524">
        <v>946000</v>
      </c>
      <c r="D458" s="524">
        <v>946000</v>
      </c>
      <c r="E458" s="260">
        <f t="shared" si="24"/>
        <v>100</v>
      </c>
      <c r="F458" s="229" t="s">
        <v>63</v>
      </c>
      <c r="G458" s="228" t="s">
        <v>71</v>
      </c>
      <c r="H458" s="230"/>
    </row>
    <row r="459" spans="1:8" s="220" customFormat="1" x14ac:dyDescent="0.2">
      <c r="A459" s="523" t="s">
        <v>419</v>
      </c>
      <c r="B459" s="509">
        <v>0</v>
      </c>
      <c r="C459" s="524">
        <v>400000</v>
      </c>
      <c r="D459" s="524">
        <v>400000</v>
      </c>
      <c r="E459" s="260">
        <f t="shared" si="24"/>
        <v>100</v>
      </c>
      <c r="F459" s="229" t="s">
        <v>63</v>
      </c>
      <c r="G459" s="228" t="s">
        <v>71</v>
      </c>
      <c r="H459" s="230">
        <f>SUM(D447:D459)</f>
        <v>10000000</v>
      </c>
    </row>
    <row r="460" spans="1:8" s="220" customFormat="1" x14ac:dyDescent="0.2">
      <c r="A460" s="523" t="s">
        <v>422</v>
      </c>
      <c r="B460" s="509">
        <v>0</v>
      </c>
      <c r="C460" s="524">
        <v>5300000</v>
      </c>
      <c r="D460" s="524">
        <v>5300000</v>
      </c>
      <c r="E460" s="260">
        <f t="shared" si="24"/>
        <v>100</v>
      </c>
      <c r="F460" s="229" t="s">
        <v>63</v>
      </c>
      <c r="G460" s="228" t="s">
        <v>35</v>
      </c>
      <c r="H460" s="230"/>
    </row>
    <row r="461" spans="1:8" s="220" customFormat="1" x14ac:dyDescent="0.2">
      <c r="A461" s="523" t="s">
        <v>423</v>
      </c>
      <c r="B461" s="509">
        <v>0</v>
      </c>
      <c r="C461" s="524">
        <v>2337000</v>
      </c>
      <c r="D461" s="524">
        <v>2337000</v>
      </c>
      <c r="E461" s="260">
        <f t="shared" si="24"/>
        <v>100</v>
      </c>
      <c r="F461" s="229" t="s">
        <v>63</v>
      </c>
      <c r="G461" s="228" t="s">
        <v>35</v>
      </c>
      <c r="H461" s="230"/>
    </row>
    <row r="462" spans="1:8" s="220" customFormat="1" x14ac:dyDescent="0.2">
      <c r="A462" s="523" t="s">
        <v>424</v>
      </c>
      <c r="B462" s="509">
        <v>0</v>
      </c>
      <c r="C462" s="524">
        <v>1992000</v>
      </c>
      <c r="D462" s="524">
        <v>1992000</v>
      </c>
      <c r="E462" s="260">
        <f t="shared" si="24"/>
        <v>100</v>
      </c>
      <c r="F462" s="229" t="s">
        <v>63</v>
      </c>
      <c r="G462" s="228" t="s">
        <v>35</v>
      </c>
      <c r="H462" s="230"/>
    </row>
    <row r="463" spans="1:8" s="220" customFormat="1" x14ac:dyDescent="0.2">
      <c r="A463" s="523" t="s">
        <v>425</v>
      </c>
      <c r="B463" s="509">
        <v>0</v>
      </c>
      <c r="C463" s="524">
        <v>1300000</v>
      </c>
      <c r="D463" s="524">
        <v>1300000</v>
      </c>
      <c r="E463" s="260">
        <f t="shared" si="24"/>
        <v>100</v>
      </c>
      <c r="F463" s="229" t="s">
        <v>63</v>
      </c>
      <c r="G463" s="228" t="s">
        <v>35</v>
      </c>
      <c r="H463" s="230"/>
    </row>
    <row r="464" spans="1:8" s="220" customFormat="1" x14ac:dyDescent="0.2">
      <c r="A464" s="523" t="s">
        <v>426</v>
      </c>
      <c r="B464" s="509">
        <v>0</v>
      </c>
      <c r="C464" s="524">
        <v>4000000</v>
      </c>
      <c r="D464" s="524">
        <v>4000000</v>
      </c>
      <c r="E464" s="260">
        <f t="shared" si="24"/>
        <v>100</v>
      </c>
      <c r="F464" s="229" t="s">
        <v>63</v>
      </c>
      <c r="G464" s="228" t="s">
        <v>35</v>
      </c>
      <c r="H464" s="230"/>
    </row>
    <row r="465" spans="1:12" s="220" customFormat="1" x14ac:dyDescent="0.2">
      <c r="A465" s="523" t="s">
        <v>427</v>
      </c>
      <c r="B465" s="509">
        <v>0</v>
      </c>
      <c r="C465" s="524">
        <v>8591052.3599999994</v>
      </c>
      <c r="D465" s="524">
        <v>8591052.6300000008</v>
      </c>
      <c r="E465" s="260">
        <f t="shared" si="24"/>
        <v>100.00000314280474</v>
      </c>
      <c r="F465" s="229" t="s">
        <v>63</v>
      </c>
      <c r="G465" s="228" t="s">
        <v>35</v>
      </c>
      <c r="H465" s="230"/>
    </row>
    <row r="466" spans="1:12" s="220" customFormat="1" x14ac:dyDescent="0.2">
      <c r="A466" s="523" t="s">
        <v>428</v>
      </c>
      <c r="B466" s="509">
        <v>0</v>
      </c>
      <c r="C466" s="524">
        <v>360104.5</v>
      </c>
      <c r="D466" s="524">
        <v>360104.5</v>
      </c>
      <c r="E466" s="260">
        <f t="shared" si="24"/>
        <v>100</v>
      </c>
      <c r="F466" s="229" t="s">
        <v>63</v>
      </c>
      <c r="G466" s="228" t="s">
        <v>35</v>
      </c>
      <c r="H466" s="230"/>
    </row>
    <row r="467" spans="1:12" s="220" customFormat="1" x14ac:dyDescent="0.2">
      <c r="A467" s="523" t="s">
        <v>429</v>
      </c>
      <c r="B467" s="509">
        <v>0</v>
      </c>
      <c r="C467" s="524">
        <v>435874.5</v>
      </c>
      <c r="D467" s="524">
        <v>435874.5</v>
      </c>
      <c r="E467" s="260">
        <f t="shared" si="24"/>
        <v>100</v>
      </c>
      <c r="F467" s="229" t="s">
        <v>63</v>
      </c>
      <c r="G467" s="228" t="s">
        <v>35</v>
      </c>
      <c r="H467" s="230"/>
    </row>
    <row r="468" spans="1:12" s="220" customFormat="1" x14ac:dyDescent="0.2">
      <c r="A468" s="523" t="s">
        <v>430</v>
      </c>
      <c r="B468" s="509">
        <v>0</v>
      </c>
      <c r="C468" s="524">
        <v>397821</v>
      </c>
      <c r="D468" s="524">
        <v>397821</v>
      </c>
      <c r="E468" s="260">
        <f t="shared" si="24"/>
        <v>100</v>
      </c>
      <c r="F468" s="229" t="s">
        <v>63</v>
      </c>
      <c r="G468" s="228" t="s">
        <v>35</v>
      </c>
      <c r="H468" s="230"/>
    </row>
    <row r="469" spans="1:12" s="220" customFormat="1" ht="25.5" x14ac:dyDescent="0.2">
      <c r="A469" s="525" t="s">
        <v>431</v>
      </c>
      <c r="B469" s="509">
        <v>0</v>
      </c>
      <c r="C469" s="509">
        <v>201895.7</v>
      </c>
      <c r="D469" s="509">
        <v>201895.7</v>
      </c>
      <c r="E469" s="260">
        <f t="shared" si="24"/>
        <v>100</v>
      </c>
      <c r="F469" s="229" t="s">
        <v>63</v>
      </c>
      <c r="G469" s="228" t="s">
        <v>35</v>
      </c>
      <c r="H469" s="230">
        <f>SUM(D460:D469)</f>
        <v>24915748.330000002</v>
      </c>
    </row>
    <row r="470" spans="1:12" s="220" customFormat="1" x14ac:dyDescent="0.2">
      <c r="A470" s="523" t="s">
        <v>240</v>
      </c>
      <c r="B470" s="509">
        <v>0</v>
      </c>
      <c r="C470" s="524">
        <v>3443000</v>
      </c>
      <c r="D470" s="524">
        <v>3443000</v>
      </c>
      <c r="E470" s="260">
        <f t="shared" si="24"/>
        <v>100</v>
      </c>
      <c r="F470" s="229" t="s">
        <v>63</v>
      </c>
      <c r="G470" s="228" t="s">
        <v>439</v>
      </c>
      <c r="H470" s="230"/>
    </row>
    <row r="471" spans="1:12" s="220" customFormat="1" x14ac:dyDescent="0.2">
      <c r="A471" s="523" t="s">
        <v>433</v>
      </c>
      <c r="B471" s="509">
        <v>0</v>
      </c>
      <c r="C471" s="524">
        <v>814000</v>
      </c>
      <c r="D471" s="524">
        <v>814000</v>
      </c>
      <c r="E471" s="260">
        <f t="shared" si="24"/>
        <v>100</v>
      </c>
      <c r="F471" s="229" t="s">
        <v>63</v>
      </c>
      <c r="G471" s="228" t="s">
        <v>439</v>
      </c>
      <c r="H471" s="230"/>
    </row>
    <row r="472" spans="1:12" s="220" customFormat="1" x14ac:dyDescent="0.2">
      <c r="A472" s="523" t="s">
        <v>434</v>
      </c>
      <c r="B472" s="509">
        <v>0</v>
      </c>
      <c r="C472" s="524">
        <v>943000</v>
      </c>
      <c r="D472" s="524">
        <v>943000</v>
      </c>
      <c r="E472" s="260">
        <f t="shared" si="24"/>
        <v>100</v>
      </c>
      <c r="F472" s="229" t="s">
        <v>63</v>
      </c>
      <c r="G472" s="228" t="s">
        <v>439</v>
      </c>
      <c r="H472" s="230"/>
    </row>
    <row r="473" spans="1:12" s="220" customFormat="1" x14ac:dyDescent="0.2">
      <c r="A473" s="523" t="s">
        <v>435</v>
      </c>
      <c r="B473" s="509">
        <v>0</v>
      </c>
      <c r="C473" s="524">
        <v>2843000</v>
      </c>
      <c r="D473" s="524">
        <v>2843000</v>
      </c>
      <c r="E473" s="260">
        <f t="shared" si="24"/>
        <v>100</v>
      </c>
      <c r="F473" s="229" t="s">
        <v>63</v>
      </c>
      <c r="G473" s="228" t="s">
        <v>439</v>
      </c>
      <c r="H473" s="230"/>
    </row>
    <row r="474" spans="1:12" s="220" customFormat="1" x14ac:dyDescent="0.2">
      <c r="A474" s="523" t="s">
        <v>436</v>
      </c>
      <c r="B474" s="509">
        <v>0</v>
      </c>
      <c r="C474" s="524">
        <v>2500000</v>
      </c>
      <c r="D474" s="524">
        <v>2500000</v>
      </c>
      <c r="E474" s="260">
        <f t="shared" si="24"/>
        <v>100</v>
      </c>
      <c r="F474" s="229" t="s">
        <v>63</v>
      </c>
      <c r="G474" s="228" t="s">
        <v>439</v>
      </c>
      <c r="H474" s="230"/>
    </row>
    <row r="475" spans="1:12" s="220" customFormat="1" x14ac:dyDescent="0.2">
      <c r="A475" s="523" t="s">
        <v>437</v>
      </c>
      <c r="B475" s="509">
        <v>0</v>
      </c>
      <c r="C475" s="524">
        <v>200000</v>
      </c>
      <c r="D475" s="524">
        <v>200000</v>
      </c>
      <c r="E475" s="260">
        <f t="shared" si="24"/>
        <v>100</v>
      </c>
      <c r="F475" s="229" t="s">
        <v>63</v>
      </c>
      <c r="G475" s="228" t="s">
        <v>439</v>
      </c>
      <c r="H475" s="230"/>
    </row>
    <row r="476" spans="1:12" s="220" customFormat="1" ht="13.5" thickBot="1" x14ac:dyDescent="0.25">
      <c r="A476" s="526" t="s">
        <v>438</v>
      </c>
      <c r="B476" s="510">
        <v>0</v>
      </c>
      <c r="C476" s="527">
        <v>3800000</v>
      </c>
      <c r="D476" s="527">
        <v>3800000</v>
      </c>
      <c r="E476" s="267">
        <f t="shared" si="24"/>
        <v>100</v>
      </c>
      <c r="F476" s="229" t="s">
        <v>63</v>
      </c>
      <c r="G476" s="228" t="s">
        <v>439</v>
      </c>
      <c r="H476" s="230">
        <f>SUM(D470:D476)</f>
        <v>14543000</v>
      </c>
      <c r="I476" s="239" t="s">
        <v>36</v>
      </c>
      <c r="J476" s="240">
        <f>SUM(B481:B481)</f>
        <v>0</v>
      </c>
      <c r="K476" s="240">
        <f>SUM(C481:C481)</f>
        <v>1211300</v>
      </c>
      <c r="L476" s="240">
        <f>SUM(D481:D481)</f>
        <v>887694.7</v>
      </c>
    </row>
    <row r="477" spans="1:12" s="220" customFormat="1" ht="13.5" thickTop="1" x14ac:dyDescent="0.2">
      <c r="E477" s="221"/>
      <c r="F477" s="229"/>
      <c r="G477" s="228"/>
      <c r="H477" s="223"/>
      <c r="I477" s="118" t="s">
        <v>33</v>
      </c>
      <c r="J477" s="127">
        <f>SUM(B377:B398)</f>
        <v>13704000</v>
      </c>
      <c r="K477" s="127">
        <f>SUM(C377:C398)</f>
        <v>55505593.600000001</v>
      </c>
      <c r="L477" s="127">
        <f>SUM(D377:D398)</f>
        <v>37294406.090000004</v>
      </c>
    </row>
    <row r="478" spans="1:12" s="211" customFormat="1" ht="15" customHeight="1" thickBot="1" x14ac:dyDescent="0.3">
      <c r="A478" s="231" t="s">
        <v>721</v>
      </c>
      <c r="E478" s="232" t="s">
        <v>18</v>
      </c>
      <c r="G478" s="233"/>
      <c r="H478" s="234"/>
      <c r="I478" s="123" t="s">
        <v>35</v>
      </c>
      <c r="J478" s="172">
        <f>SUM(B403:B476)</f>
        <v>75929000</v>
      </c>
      <c r="K478" s="172">
        <f>SUM(C403:C476)</f>
        <v>269659748.06</v>
      </c>
      <c r="L478" s="172">
        <f>SUM(D403:D476)</f>
        <v>269659748.32999998</v>
      </c>
    </row>
    <row r="479" spans="1:12" s="211" customFormat="1" ht="18" customHeight="1" thickTop="1" thickBot="1" x14ac:dyDescent="0.25">
      <c r="A479" s="215" t="s">
        <v>5</v>
      </c>
      <c r="B479" s="216" t="s">
        <v>0</v>
      </c>
      <c r="C479" s="217" t="s">
        <v>1</v>
      </c>
      <c r="D479" s="218" t="s">
        <v>4</v>
      </c>
      <c r="E479" s="219" t="s">
        <v>6</v>
      </c>
      <c r="G479" s="233"/>
      <c r="I479" s="123"/>
      <c r="J479" s="171">
        <f>SUM(J476:J478)</f>
        <v>89633000</v>
      </c>
      <c r="K479" s="171">
        <f>SUM(K476:K478)</f>
        <v>326376641.66000003</v>
      </c>
      <c r="L479" s="171">
        <f>SUM(L476:L478)</f>
        <v>307841849.12</v>
      </c>
    </row>
    <row r="480" spans="1:12" s="211" customFormat="1" ht="15.75" thickTop="1" x14ac:dyDescent="0.2">
      <c r="A480" s="235" t="s">
        <v>11</v>
      </c>
      <c r="B480" s="236">
        <f>SUM(B481:B481)</f>
        <v>0</v>
      </c>
      <c r="C480" s="236">
        <f>SUM(C481:C481)</f>
        <v>1211300</v>
      </c>
      <c r="D480" s="236">
        <f>SUM(D481:D481)</f>
        <v>887694.7</v>
      </c>
      <c r="E480" s="237">
        <f>D480/C480*100</f>
        <v>73.28446297366466</v>
      </c>
      <c r="F480" s="238" t="s">
        <v>2</v>
      </c>
      <c r="G480" s="239" t="s">
        <v>36</v>
      </c>
    </row>
    <row r="481" spans="1:9" s="81" customFormat="1" ht="13.5" thickBot="1" x14ac:dyDescent="0.25">
      <c r="A481" s="186" t="s">
        <v>38</v>
      </c>
      <c r="B481" s="139">
        <v>0</v>
      </c>
      <c r="C481" s="143">
        <v>1211300</v>
      </c>
      <c r="D481" s="143">
        <v>887694.7</v>
      </c>
      <c r="E481" s="140">
        <f>D481/C481*100</f>
        <v>73.28446297366466</v>
      </c>
      <c r="F481" s="122" t="s">
        <v>204</v>
      </c>
      <c r="G481" s="99"/>
    </row>
    <row r="482" spans="1:9" s="7" customFormat="1" ht="13.5" thickTop="1" x14ac:dyDescent="0.2">
      <c r="E482" s="53"/>
      <c r="F482" s="83"/>
      <c r="G482" s="57"/>
    </row>
    <row r="483" spans="1:9" s="7" customFormat="1" x14ac:dyDescent="0.2">
      <c r="E483" s="53"/>
      <c r="F483" s="83"/>
      <c r="G483" s="57"/>
    </row>
    <row r="484" spans="1:9" s="6" customFormat="1" ht="18.75" thickBot="1" x14ac:dyDescent="0.3">
      <c r="A484" s="63" t="s">
        <v>24</v>
      </c>
      <c r="B484" s="64">
        <f>SUM(B376,B402,B480)</f>
        <v>89633000</v>
      </c>
      <c r="C484" s="64">
        <f t="shared" ref="C484:D484" si="25">SUM(C376,C402,C480)</f>
        <v>326376641.66000003</v>
      </c>
      <c r="D484" s="64">
        <f t="shared" si="25"/>
        <v>307841849.11999995</v>
      </c>
      <c r="E484" s="65">
        <f>D484/C484*100</f>
        <v>94.321041957620082</v>
      </c>
      <c r="F484" s="105"/>
      <c r="G484" s="66"/>
      <c r="I484" s="30"/>
    </row>
    <row r="485" spans="1:9" s="7" customFormat="1" ht="13.5" thickTop="1" x14ac:dyDescent="0.2">
      <c r="E485" s="53"/>
      <c r="F485" s="83"/>
      <c r="G485" s="57"/>
      <c r="H485" s="57"/>
    </row>
    <row r="486" spans="1:9" s="7" customFormat="1" x14ac:dyDescent="0.2">
      <c r="E486" s="53"/>
      <c r="F486" s="83"/>
      <c r="G486" s="57"/>
    </row>
    <row r="487" spans="1:9" s="7" customFormat="1" x14ac:dyDescent="0.2">
      <c r="E487" s="53"/>
      <c r="F487" s="83"/>
      <c r="G487" s="57"/>
    </row>
    <row r="488" spans="1:9" ht="15" customHeight="1" x14ac:dyDescent="0.25">
      <c r="A488" s="36" t="s">
        <v>30</v>
      </c>
    </row>
    <row r="489" spans="1:9" ht="15" customHeight="1" thickBot="1" x14ac:dyDescent="0.3">
      <c r="A489" s="39" t="s">
        <v>229</v>
      </c>
      <c r="E489" s="40" t="s">
        <v>18</v>
      </c>
    </row>
    <row r="490" spans="1:9" ht="14.25" thickTop="1" thickBot="1" x14ac:dyDescent="0.25">
      <c r="A490" s="41" t="s">
        <v>5</v>
      </c>
      <c r="B490" s="42" t="s">
        <v>0</v>
      </c>
      <c r="C490" s="43" t="s">
        <v>1</v>
      </c>
      <c r="D490" s="44" t="s">
        <v>4</v>
      </c>
      <c r="E490" s="45" t="s">
        <v>6</v>
      </c>
    </row>
    <row r="491" spans="1:9" ht="15.75" thickTop="1" x14ac:dyDescent="0.2">
      <c r="A491" s="46" t="s">
        <v>10</v>
      </c>
      <c r="B491" s="69">
        <f>SUM(B492:B497)</f>
        <v>4912000</v>
      </c>
      <c r="C491" s="69">
        <f>SUM(C492:C497)</f>
        <v>35984000</v>
      </c>
      <c r="D491" s="69">
        <f>SUM(D492:D497)</f>
        <v>29941336.420000002</v>
      </c>
      <c r="E491" s="79">
        <f t="shared" ref="E491:E497" si="26">D491/C491*100</f>
        <v>83.207359993330371</v>
      </c>
      <c r="F491" s="37"/>
    </row>
    <row r="492" spans="1:9" x14ac:dyDescent="0.2">
      <c r="A492" s="623" t="s">
        <v>178</v>
      </c>
      <c r="B492" s="632">
        <v>1100000</v>
      </c>
      <c r="C492" s="624">
        <v>95750</v>
      </c>
      <c r="D492" s="624">
        <v>95750</v>
      </c>
      <c r="E492" s="615">
        <f t="shared" si="26"/>
        <v>100</v>
      </c>
      <c r="F492" s="86">
        <v>100299</v>
      </c>
      <c r="G492" s="118" t="s">
        <v>33</v>
      </c>
    </row>
    <row r="493" spans="1:9" x14ac:dyDescent="0.2">
      <c r="A493" s="247" t="s">
        <v>299</v>
      </c>
      <c r="B493" s="253">
        <v>0</v>
      </c>
      <c r="C493" s="253">
        <v>106250</v>
      </c>
      <c r="D493" s="253">
        <v>0</v>
      </c>
      <c r="E493" s="245">
        <f t="shared" si="26"/>
        <v>0</v>
      </c>
      <c r="F493" s="145">
        <v>100651</v>
      </c>
      <c r="G493" s="118" t="s">
        <v>33</v>
      </c>
    </row>
    <row r="494" spans="1:9" s="97" customFormat="1" ht="25.5" x14ac:dyDescent="0.2">
      <c r="A494" s="247" t="s">
        <v>182</v>
      </c>
      <c r="B494" s="253">
        <v>3812000</v>
      </c>
      <c r="C494" s="253">
        <v>112000</v>
      </c>
      <c r="D494" s="253">
        <v>5000</v>
      </c>
      <c r="E494" s="245">
        <f t="shared" si="26"/>
        <v>4.4642857142857144</v>
      </c>
      <c r="F494" s="145">
        <v>101125</v>
      </c>
      <c r="G494" s="118" t="s">
        <v>33</v>
      </c>
      <c r="H494" s="96"/>
    </row>
    <row r="495" spans="1:9" s="97" customFormat="1" x14ac:dyDescent="0.2">
      <c r="A495" s="247" t="s">
        <v>183</v>
      </c>
      <c r="B495" s="253">
        <v>0</v>
      </c>
      <c r="C495" s="253">
        <v>24539647</v>
      </c>
      <c r="D495" s="253">
        <v>24539647</v>
      </c>
      <c r="E495" s="245">
        <f t="shared" si="26"/>
        <v>100</v>
      </c>
      <c r="F495" s="145">
        <v>101177</v>
      </c>
      <c r="G495" s="118" t="s">
        <v>33</v>
      </c>
    </row>
    <row r="496" spans="1:9" s="97" customFormat="1" x14ac:dyDescent="0.2">
      <c r="A496" s="247" t="s">
        <v>300</v>
      </c>
      <c r="B496" s="253">
        <v>0</v>
      </c>
      <c r="C496" s="253">
        <v>2680000</v>
      </c>
      <c r="D496" s="253">
        <v>2305468.66</v>
      </c>
      <c r="E496" s="245">
        <f t="shared" si="26"/>
        <v>86.024950000000004</v>
      </c>
      <c r="F496" s="145">
        <v>101230</v>
      </c>
      <c r="G496" s="118" t="s">
        <v>33</v>
      </c>
      <c r="H496" s="194"/>
    </row>
    <row r="497" spans="1:11" s="97" customFormat="1" ht="13.5" thickBot="1" x14ac:dyDescent="0.25">
      <c r="A497" s="248" t="s">
        <v>301</v>
      </c>
      <c r="B497" s="256">
        <v>0</v>
      </c>
      <c r="C497" s="256">
        <v>8450353</v>
      </c>
      <c r="D497" s="256">
        <v>2995470.76</v>
      </c>
      <c r="E497" s="251">
        <f t="shared" si="26"/>
        <v>35.447877266192307</v>
      </c>
      <c r="F497" s="145">
        <v>101231</v>
      </c>
      <c r="G497" s="118" t="s">
        <v>33</v>
      </c>
      <c r="H497" s="194">
        <f>SUM(D492:D497)</f>
        <v>29941336.420000002</v>
      </c>
    </row>
    <row r="498" spans="1:11" s="7" customFormat="1" ht="13.5" thickTop="1" x14ac:dyDescent="0.2">
      <c r="E498" s="53"/>
      <c r="F498" s="83"/>
      <c r="G498" s="57"/>
      <c r="H498" s="57"/>
    </row>
    <row r="499" spans="1:11" s="7" customFormat="1" x14ac:dyDescent="0.2">
      <c r="E499" s="53"/>
      <c r="F499" s="83"/>
      <c r="G499" s="57"/>
      <c r="H499" s="57"/>
    </row>
    <row r="500" spans="1:11" s="7" customFormat="1" x14ac:dyDescent="0.2">
      <c r="E500" s="53"/>
      <c r="F500" s="83"/>
      <c r="G500" s="57"/>
      <c r="H500" s="57"/>
    </row>
    <row r="501" spans="1:11" s="7" customFormat="1" ht="15.75" thickBot="1" x14ac:dyDescent="0.25">
      <c r="A501" s="58" t="s">
        <v>29</v>
      </c>
      <c r="B501" s="5"/>
      <c r="C501" s="5"/>
      <c r="D501" s="5"/>
      <c r="E501" s="158" t="s">
        <v>18</v>
      </c>
      <c r="F501" s="83"/>
      <c r="G501" s="57"/>
      <c r="H501" s="123"/>
      <c r="I501" s="128"/>
      <c r="J501" s="128"/>
      <c r="K501" s="128"/>
    </row>
    <row r="502" spans="1:11" s="6" customFormat="1" ht="19.5" thickTop="1" thickBot="1" x14ac:dyDescent="0.3">
      <c r="A502" s="41" t="s">
        <v>5</v>
      </c>
      <c r="B502" s="42" t="s">
        <v>0</v>
      </c>
      <c r="C502" s="43" t="s">
        <v>1</v>
      </c>
      <c r="D502" s="44" t="s">
        <v>4</v>
      </c>
      <c r="E502" s="45" t="s">
        <v>6</v>
      </c>
      <c r="F502" s="29"/>
      <c r="G502" s="66"/>
      <c r="H502" s="66"/>
    </row>
    <row r="503" spans="1:11" s="7" customFormat="1" ht="15.75" thickTop="1" x14ac:dyDescent="0.2">
      <c r="A503" s="159" t="s">
        <v>10</v>
      </c>
      <c r="B503" s="114">
        <f>SUM(B504:B529)</f>
        <v>0</v>
      </c>
      <c r="C503" s="114">
        <f t="shared" ref="C503:D503" si="27">SUM(C504:C529)</f>
        <v>7750943.54</v>
      </c>
      <c r="D503" s="114">
        <f t="shared" si="27"/>
        <v>7750943.54</v>
      </c>
      <c r="E503" s="160">
        <f>D503/C503*100</f>
        <v>100</v>
      </c>
      <c r="F503" s="83"/>
      <c r="G503" s="57"/>
      <c r="H503" s="57"/>
    </row>
    <row r="504" spans="1:11" s="7" customFormat="1" x14ac:dyDescent="0.2">
      <c r="A504" s="623" t="s">
        <v>542</v>
      </c>
      <c r="B504" s="613">
        <v>0</v>
      </c>
      <c r="C504" s="613">
        <v>798601.21</v>
      </c>
      <c r="D504" s="613">
        <v>798601.21</v>
      </c>
      <c r="E504" s="615">
        <f t="shared" ref="E504:E529" si="28">D504/C504*100</f>
        <v>100</v>
      </c>
      <c r="F504" s="83">
        <v>1700</v>
      </c>
      <c r="G504" s="490" t="s">
        <v>684</v>
      </c>
      <c r="H504" s="57"/>
    </row>
    <row r="505" spans="1:11" s="7" customFormat="1" x14ac:dyDescent="0.2">
      <c r="A505" s="268" t="s">
        <v>686</v>
      </c>
      <c r="B505" s="243">
        <v>0</v>
      </c>
      <c r="C505" s="243">
        <v>134910.28</v>
      </c>
      <c r="D505" s="243">
        <v>134910.28</v>
      </c>
      <c r="E505" s="245">
        <f t="shared" si="28"/>
        <v>100</v>
      </c>
      <c r="F505" s="83">
        <v>1700</v>
      </c>
      <c r="G505" s="490" t="s">
        <v>685</v>
      </c>
      <c r="H505" s="57"/>
    </row>
    <row r="506" spans="1:11" s="7" customFormat="1" ht="25.5" x14ac:dyDescent="0.2">
      <c r="A506" s="254" t="s">
        <v>687</v>
      </c>
      <c r="B506" s="243">
        <v>0</v>
      </c>
      <c r="C506" s="243">
        <v>182218</v>
      </c>
      <c r="D506" s="243">
        <v>182218</v>
      </c>
      <c r="E506" s="245">
        <f t="shared" si="28"/>
        <v>100</v>
      </c>
      <c r="F506" s="83">
        <v>1700</v>
      </c>
      <c r="G506" s="490" t="s">
        <v>685</v>
      </c>
      <c r="H506" s="57"/>
    </row>
    <row r="507" spans="1:11" s="7" customFormat="1" ht="25.5" x14ac:dyDescent="0.2">
      <c r="A507" s="254" t="s">
        <v>688</v>
      </c>
      <c r="B507" s="243">
        <v>0</v>
      </c>
      <c r="C507" s="243">
        <v>131000.65</v>
      </c>
      <c r="D507" s="243">
        <v>131000.65</v>
      </c>
      <c r="E507" s="245">
        <f t="shared" si="28"/>
        <v>100</v>
      </c>
      <c r="F507" s="83">
        <v>1700</v>
      </c>
      <c r="G507" s="490" t="s">
        <v>685</v>
      </c>
      <c r="H507" s="57"/>
    </row>
    <row r="508" spans="1:11" s="7" customFormat="1" ht="25.5" x14ac:dyDescent="0.2">
      <c r="A508" s="254" t="s">
        <v>689</v>
      </c>
      <c r="B508" s="243">
        <v>0</v>
      </c>
      <c r="C508" s="243">
        <v>358415</v>
      </c>
      <c r="D508" s="243">
        <v>358415</v>
      </c>
      <c r="E508" s="245">
        <f t="shared" si="28"/>
        <v>100</v>
      </c>
      <c r="F508" s="83">
        <v>1700</v>
      </c>
      <c r="G508" s="490" t="s">
        <v>685</v>
      </c>
      <c r="H508" s="57"/>
    </row>
    <row r="509" spans="1:11" s="7" customFormat="1" x14ac:dyDescent="0.2">
      <c r="A509" s="268" t="s">
        <v>690</v>
      </c>
      <c r="B509" s="243">
        <v>0</v>
      </c>
      <c r="C509" s="243">
        <v>619415</v>
      </c>
      <c r="D509" s="243">
        <v>619415</v>
      </c>
      <c r="E509" s="245">
        <f t="shared" si="28"/>
        <v>100</v>
      </c>
      <c r="F509" s="83">
        <v>1700</v>
      </c>
      <c r="G509" s="490" t="s">
        <v>685</v>
      </c>
      <c r="H509" s="57"/>
    </row>
    <row r="510" spans="1:11" s="7" customFormat="1" x14ac:dyDescent="0.2">
      <c r="A510" s="268" t="s">
        <v>691</v>
      </c>
      <c r="B510" s="243">
        <v>0</v>
      </c>
      <c r="C510" s="243">
        <v>80000</v>
      </c>
      <c r="D510" s="243">
        <v>80000</v>
      </c>
      <c r="E510" s="245">
        <f t="shared" si="28"/>
        <v>100</v>
      </c>
      <c r="F510" s="83">
        <v>1700</v>
      </c>
      <c r="G510" s="490" t="s">
        <v>685</v>
      </c>
      <c r="H510" s="57"/>
    </row>
    <row r="511" spans="1:11" s="7" customFormat="1" x14ac:dyDescent="0.2">
      <c r="A511" s="268" t="s">
        <v>692</v>
      </c>
      <c r="B511" s="243">
        <v>0</v>
      </c>
      <c r="C511" s="243">
        <v>74430</v>
      </c>
      <c r="D511" s="243">
        <v>74430</v>
      </c>
      <c r="E511" s="245">
        <f t="shared" si="28"/>
        <v>100</v>
      </c>
      <c r="F511" s="83">
        <v>1700</v>
      </c>
      <c r="G511" s="490" t="s">
        <v>685</v>
      </c>
      <c r="H511" s="57"/>
    </row>
    <row r="512" spans="1:11" s="7" customFormat="1" x14ac:dyDescent="0.2">
      <c r="A512" s="268" t="s">
        <v>693</v>
      </c>
      <c r="B512" s="243">
        <v>0</v>
      </c>
      <c r="C512" s="243">
        <v>170368</v>
      </c>
      <c r="D512" s="243">
        <v>170368</v>
      </c>
      <c r="E512" s="245">
        <f t="shared" si="28"/>
        <v>100</v>
      </c>
      <c r="F512" s="83">
        <v>1700</v>
      </c>
      <c r="G512" s="490" t="s">
        <v>685</v>
      </c>
      <c r="H512" s="57"/>
    </row>
    <row r="513" spans="1:12" s="7" customFormat="1" x14ac:dyDescent="0.2">
      <c r="A513" s="268" t="s">
        <v>694</v>
      </c>
      <c r="B513" s="243">
        <v>0</v>
      </c>
      <c r="C513" s="243">
        <v>69558.06</v>
      </c>
      <c r="D513" s="243">
        <v>69558.06</v>
      </c>
      <c r="E513" s="245">
        <f t="shared" si="28"/>
        <v>100</v>
      </c>
      <c r="F513" s="83">
        <v>1700</v>
      </c>
      <c r="G513" s="490" t="s">
        <v>685</v>
      </c>
      <c r="H513" s="57"/>
    </row>
    <row r="514" spans="1:12" s="7" customFormat="1" x14ac:dyDescent="0.2">
      <c r="A514" s="268" t="s">
        <v>695</v>
      </c>
      <c r="B514" s="243">
        <v>0</v>
      </c>
      <c r="C514" s="243">
        <v>125886</v>
      </c>
      <c r="D514" s="243">
        <v>125886</v>
      </c>
      <c r="E514" s="245">
        <f t="shared" si="28"/>
        <v>100</v>
      </c>
      <c r="F514" s="83">
        <v>1700</v>
      </c>
      <c r="G514" s="490" t="s">
        <v>685</v>
      </c>
      <c r="H514" s="57"/>
    </row>
    <row r="515" spans="1:12" s="7" customFormat="1" x14ac:dyDescent="0.2">
      <c r="A515" s="268" t="s">
        <v>696</v>
      </c>
      <c r="B515" s="243">
        <v>0</v>
      </c>
      <c r="C515" s="243">
        <v>179080</v>
      </c>
      <c r="D515" s="243">
        <v>179080</v>
      </c>
      <c r="E515" s="245">
        <f t="shared" si="28"/>
        <v>100</v>
      </c>
      <c r="F515" s="83">
        <v>1700</v>
      </c>
      <c r="G515" s="490" t="s">
        <v>685</v>
      </c>
      <c r="H515" s="57"/>
    </row>
    <row r="516" spans="1:12" s="7" customFormat="1" x14ac:dyDescent="0.2">
      <c r="A516" s="268" t="s">
        <v>697</v>
      </c>
      <c r="B516" s="243">
        <v>0</v>
      </c>
      <c r="C516" s="243">
        <v>118000</v>
      </c>
      <c r="D516" s="243">
        <v>118000</v>
      </c>
      <c r="E516" s="245">
        <f t="shared" si="28"/>
        <v>100</v>
      </c>
      <c r="F516" s="83">
        <v>1700</v>
      </c>
      <c r="G516" s="490" t="s">
        <v>685</v>
      </c>
      <c r="H516" s="57"/>
    </row>
    <row r="517" spans="1:12" s="7" customFormat="1" x14ac:dyDescent="0.2">
      <c r="A517" s="268" t="s">
        <v>698</v>
      </c>
      <c r="B517" s="243">
        <v>0</v>
      </c>
      <c r="C517" s="243">
        <v>119944</v>
      </c>
      <c r="D517" s="243">
        <v>119944</v>
      </c>
      <c r="E517" s="245">
        <f t="shared" si="28"/>
        <v>100</v>
      </c>
      <c r="F517" s="83">
        <v>1700</v>
      </c>
      <c r="G517" s="490" t="s">
        <v>685</v>
      </c>
      <c r="H517" s="57"/>
    </row>
    <row r="518" spans="1:12" s="7" customFormat="1" ht="25.5" x14ac:dyDescent="0.2">
      <c r="A518" s="254" t="s">
        <v>699</v>
      </c>
      <c r="B518" s="243">
        <v>0</v>
      </c>
      <c r="C518" s="243">
        <v>179062.41</v>
      </c>
      <c r="D518" s="243">
        <v>179062.41</v>
      </c>
      <c r="E518" s="245">
        <f t="shared" si="28"/>
        <v>100</v>
      </c>
      <c r="F518" s="83">
        <v>1700</v>
      </c>
      <c r="G518" s="490" t="s">
        <v>685</v>
      </c>
      <c r="H518" s="57"/>
    </row>
    <row r="519" spans="1:12" s="7" customFormat="1" x14ac:dyDescent="0.2">
      <c r="A519" s="268" t="s">
        <v>700</v>
      </c>
      <c r="B519" s="243">
        <v>0</v>
      </c>
      <c r="C519" s="243">
        <v>136125</v>
      </c>
      <c r="D519" s="243">
        <v>136125</v>
      </c>
      <c r="E519" s="245">
        <f t="shared" si="28"/>
        <v>100</v>
      </c>
      <c r="F519" s="83">
        <v>1700</v>
      </c>
      <c r="G519" s="490" t="s">
        <v>685</v>
      </c>
      <c r="H519" s="57"/>
    </row>
    <row r="520" spans="1:12" s="7" customFormat="1" ht="14.25" customHeight="1" x14ac:dyDescent="0.2">
      <c r="A520" s="254" t="s">
        <v>701</v>
      </c>
      <c r="B520" s="243">
        <v>0</v>
      </c>
      <c r="C520" s="243">
        <v>157445.20000000001</v>
      </c>
      <c r="D520" s="243">
        <v>157445.20000000001</v>
      </c>
      <c r="E520" s="245">
        <f t="shared" si="28"/>
        <v>100</v>
      </c>
      <c r="F520" s="83">
        <v>1700</v>
      </c>
      <c r="G520" s="490" t="s">
        <v>685</v>
      </c>
      <c r="H520" s="57"/>
    </row>
    <row r="521" spans="1:12" s="7" customFormat="1" x14ac:dyDescent="0.2">
      <c r="A521" s="268" t="s">
        <v>702</v>
      </c>
      <c r="B521" s="243">
        <v>0</v>
      </c>
      <c r="C521" s="243">
        <v>129470</v>
      </c>
      <c r="D521" s="243">
        <v>129470</v>
      </c>
      <c r="E521" s="245">
        <f t="shared" si="28"/>
        <v>100</v>
      </c>
      <c r="F521" s="83">
        <v>1700</v>
      </c>
      <c r="G521" s="490" t="s">
        <v>685</v>
      </c>
      <c r="H521" s="57"/>
    </row>
    <row r="522" spans="1:12" s="7" customFormat="1" x14ac:dyDescent="0.2">
      <c r="A522" s="268" t="s">
        <v>703</v>
      </c>
      <c r="B522" s="243">
        <v>0</v>
      </c>
      <c r="C522" s="243">
        <v>61890</v>
      </c>
      <c r="D522" s="243">
        <v>61890</v>
      </c>
      <c r="E522" s="245">
        <f t="shared" si="28"/>
        <v>100</v>
      </c>
      <c r="F522" s="83">
        <v>1700</v>
      </c>
      <c r="G522" s="490" t="s">
        <v>685</v>
      </c>
      <c r="H522" s="57"/>
    </row>
    <row r="523" spans="1:12" s="7" customFormat="1" ht="25.5" x14ac:dyDescent="0.2">
      <c r="A523" s="254" t="s">
        <v>704</v>
      </c>
      <c r="B523" s="243">
        <v>0</v>
      </c>
      <c r="C523" s="243">
        <v>596046</v>
      </c>
      <c r="D523" s="243">
        <v>596046</v>
      </c>
      <c r="E523" s="245">
        <f t="shared" si="28"/>
        <v>100</v>
      </c>
      <c r="F523" s="83">
        <v>1700</v>
      </c>
      <c r="G523" s="490" t="s">
        <v>685</v>
      </c>
      <c r="H523" s="57"/>
      <c r="I523" s="239"/>
      <c r="J523" s="240"/>
      <c r="K523" s="240"/>
      <c r="L523" s="240"/>
    </row>
    <row r="524" spans="1:12" s="7" customFormat="1" x14ac:dyDescent="0.2">
      <c r="A524" s="268" t="s">
        <v>705</v>
      </c>
      <c r="B524" s="243">
        <v>0</v>
      </c>
      <c r="C524" s="243">
        <v>572806.19999999995</v>
      </c>
      <c r="D524" s="243">
        <v>572806.19999999995</v>
      </c>
      <c r="E524" s="245">
        <f t="shared" si="28"/>
        <v>100</v>
      </c>
      <c r="F524" s="83">
        <v>1700</v>
      </c>
      <c r="G524" s="490" t="s">
        <v>685</v>
      </c>
      <c r="H524" s="57"/>
      <c r="I524" s="118" t="s">
        <v>33</v>
      </c>
      <c r="J524" s="127">
        <f>SUM(B492:B497)</f>
        <v>4912000</v>
      </c>
      <c r="K524" s="127">
        <f t="shared" ref="K524:L524" si="29">SUM(C492:C497)</f>
        <v>35984000</v>
      </c>
      <c r="L524" s="127">
        <f t="shared" si="29"/>
        <v>29941336.420000002</v>
      </c>
    </row>
    <row r="525" spans="1:12" s="7" customFormat="1" ht="25.5" x14ac:dyDescent="0.2">
      <c r="A525" s="254" t="s">
        <v>543</v>
      </c>
      <c r="B525" s="243">
        <v>0</v>
      </c>
      <c r="C525" s="243">
        <v>228462.52</v>
      </c>
      <c r="D525" s="243">
        <v>228462.52</v>
      </c>
      <c r="E525" s="245">
        <f t="shared" si="28"/>
        <v>100</v>
      </c>
      <c r="F525" s="83">
        <v>1704</v>
      </c>
      <c r="G525" s="490" t="s">
        <v>684</v>
      </c>
      <c r="H525" s="57"/>
      <c r="I525" s="123" t="s">
        <v>35</v>
      </c>
      <c r="J525" s="172">
        <f>SUM(B504:B529)</f>
        <v>0</v>
      </c>
      <c r="K525" s="172">
        <f t="shared" ref="K525:L525" si="30">SUM(C504:C529)</f>
        <v>7750943.54</v>
      </c>
      <c r="L525" s="172">
        <f t="shared" si="30"/>
        <v>7750943.54</v>
      </c>
    </row>
    <row r="526" spans="1:12" s="7" customFormat="1" ht="25.5" x14ac:dyDescent="0.2">
      <c r="A526" s="254" t="s">
        <v>544</v>
      </c>
      <c r="B526" s="243">
        <v>0</v>
      </c>
      <c r="C526" s="243">
        <v>195997.01</v>
      </c>
      <c r="D526" s="243">
        <v>195997.01</v>
      </c>
      <c r="E526" s="245">
        <f t="shared" si="28"/>
        <v>100</v>
      </c>
      <c r="F526" s="83">
        <v>1704</v>
      </c>
      <c r="G526" s="490" t="s">
        <v>684</v>
      </c>
      <c r="H526" s="57"/>
      <c r="I526" s="123"/>
      <c r="J526" s="171">
        <f>SUM(J523:J525)</f>
        <v>4912000</v>
      </c>
      <c r="K526" s="171">
        <f>SUM(K523:K525)</f>
        <v>43734943.539999999</v>
      </c>
      <c r="L526" s="171">
        <f>SUM(L523:L525)</f>
        <v>37692279.960000001</v>
      </c>
    </row>
    <row r="527" spans="1:12" s="7" customFormat="1" ht="25.5" x14ac:dyDescent="0.2">
      <c r="A527" s="254" t="s">
        <v>706</v>
      </c>
      <c r="B527" s="243">
        <v>0</v>
      </c>
      <c r="C527" s="243">
        <v>383182</v>
      </c>
      <c r="D527" s="243">
        <v>383182</v>
      </c>
      <c r="E527" s="245">
        <f t="shared" si="28"/>
        <v>100</v>
      </c>
      <c r="F527" s="83">
        <v>1704</v>
      </c>
      <c r="G527" s="490" t="s">
        <v>685</v>
      </c>
      <c r="H527" s="57"/>
    </row>
    <row r="528" spans="1:12" s="7" customFormat="1" ht="25.5" x14ac:dyDescent="0.2">
      <c r="A528" s="254" t="s">
        <v>707</v>
      </c>
      <c r="B528" s="243">
        <v>0</v>
      </c>
      <c r="C528" s="243">
        <v>1600000</v>
      </c>
      <c r="D528" s="243">
        <v>1600000</v>
      </c>
      <c r="E528" s="245">
        <f t="shared" si="28"/>
        <v>100</v>
      </c>
      <c r="F528" s="83">
        <v>1704</v>
      </c>
      <c r="G528" s="490" t="s">
        <v>685</v>
      </c>
      <c r="H528" s="57"/>
    </row>
    <row r="529" spans="1:12" s="7" customFormat="1" ht="26.25" thickBot="1" x14ac:dyDescent="0.25">
      <c r="A529" s="255" t="s">
        <v>708</v>
      </c>
      <c r="B529" s="511">
        <v>0</v>
      </c>
      <c r="C529" s="511">
        <v>348631</v>
      </c>
      <c r="D529" s="511">
        <v>348631</v>
      </c>
      <c r="E529" s="251">
        <f t="shared" si="28"/>
        <v>100</v>
      </c>
      <c r="F529" s="83">
        <v>1704</v>
      </c>
      <c r="G529" s="490" t="s">
        <v>709</v>
      </c>
      <c r="H529" s="57"/>
    </row>
    <row r="530" spans="1:12" s="7" customFormat="1" ht="13.5" thickTop="1" x14ac:dyDescent="0.2">
      <c r="B530" s="94"/>
      <c r="C530" s="94"/>
      <c r="D530" s="94"/>
      <c r="E530" s="53"/>
      <c r="F530" s="83"/>
      <c r="G530" s="57"/>
      <c r="H530" s="57"/>
    </row>
    <row r="531" spans="1:12" s="7" customFormat="1" x14ac:dyDescent="0.2">
      <c r="B531" s="94"/>
      <c r="C531" s="94"/>
      <c r="D531" s="94"/>
      <c r="E531" s="53"/>
      <c r="F531" s="83"/>
      <c r="G531" s="57"/>
      <c r="H531" s="57"/>
    </row>
    <row r="532" spans="1:12" s="7" customFormat="1" ht="18.75" thickBot="1" x14ac:dyDescent="0.25">
      <c r="A532" s="63" t="s">
        <v>23</v>
      </c>
      <c r="B532" s="64">
        <f>SUM(B491,B503)</f>
        <v>4912000</v>
      </c>
      <c r="C532" s="64">
        <f t="shared" ref="C532:D532" si="31">SUM(C491,C503)</f>
        <v>43734943.539999999</v>
      </c>
      <c r="D532" s="64">
        <f t="shared" si="31"/>
        <v>37692279.960000001</v>
      </c>
      <c r="E532" s="65">
        <f>D532/C532*100</f>
        <v>86.183442595568067</v>
      </c>
      <c r="F532" s="83"/>
      <c r="G532" s="57"/>
      <c r="H532" s="57"/>
    </row>
    <row r="533" spans="1:12" s="7" customFormat="1" ht="13.5" thickTop="1" x14ac:dyDescent="0.2">
      <c r="E533" s="53"/>
      <c r="F533" s="83"/>
      <c r="G533" s="57"/>
      <c r="H533" s="57"/>
    </row>
    <row r="534" spans="1:12" s="7" customFormat="1" x14ac:dyDescent="0.2">
      <c r="E534" s="53"/>
      <c r="F534" s="83"/>
      <c r="G534" s="57"/>
      <c r="H534" s="57"/>
    </row>
    <row r="535" spans="1:12" ht="18" x14ac:dyDescent="0.25">
      <c r="A535" s="36" t="s">
        <v>302</v>
      </c>
      <c r="F535" s="37"/>
    </row>
    <row r="536" spans="1:12" s="61" customFormat="1" ht="15.75" thickBot="1" x14ac:dyDescent="0.3">
      <c r="A536" s="39" t="s">
        <v>46</v>
      </c>
      <c r="B536" s="5"/>
      <c r="C536" s="5"/>
      <c r="D536" s="5"/>
      <c r="E536" s="40" t="s">
        <v>18</v>
      </c>
      <c r="F536" s="87"/>
      <c r="G536" s="655"/>
      <c r="H536" s="60"/>
    </row>
    <row r="537" spans="1:12" ht="14.25" thickTop="1" thickBot="1" x14ac:dyDescent="0.25">
      <c r="A537" s="41" t="s">
        <v>5</v>
      </c>
      <c r="B537" s="42" t="s">
        <v>0</v>
      </c>
      <c r="C537" s="43" t="s">
        <v>1</v>
      </c>
      <c r="D537" s="44" t="s">
        <v>4</v>
      </c>
      <c r="E537" s="45" t="s">
        <v>6</v>
      </c>
      <c r="F537" s="37"/>
    </row>
    <row r="538" spans="1:12" ht="15.75" thickTop="1" x14ac:dyDescent="0.2">
      <c r="A538" s="159" t="s">
        <v>441</v>
      </c>
      <c r="B538" s="590">
        <f>SUM(B539)</f>
        <v>0</v>
      </c>
      <c r="C538" s="590">
        <f>SUM(C539)</f>
        <v>1531000</v>
      </c>
      <c r="D538" s="590">
        <f>SUM(D539)</f>
        <v>1524283</v>
      </c>
      <c r="E538" s="160">
        <f t="shared" ref="E538:E539" si="32">D538/C538*100</f>
        <v>99.56126714565643</v>
      </c>
      <c r="F538" s="37"/>
      <c r="G538" s="38" t="s">
        <v>713</v>
      </c>
    </row>
    <row r="539" spans="1:12" x14ac:dyDescent="0.2">
      <c r="A539" s="620" t="s">
        <v>456</v>
      </c>
      <c r="B539" s="613">
        <v>0</v>
      </c>
      <c r="C539" s="613">
        <v>1531000</v>
      </c>
      <c r="D539" s="613">
        <v>1524283</v>
      </c>
      <c r="E539" s="615">
        <f t="shared" si="32"/>
        <v>99.56126714565643</v>
      </c>
      <c r="F539" s="37"/>
    </row>
    <row r="540" spans="1:12" ht="15" x14ac:dyDescent="0.2">
      <c r="A540" s="633" t="s">
        <v>89</v>
      </c>
      <c r="B540" s="634">
        <f>SUM(B541:B549)</f>
        <v>560000</v>
      </c>
      <c r="C540" s="634">
        <f>SUM(C541:C549)</f>
        <v>25315814</v>
      </c>
      <c r="D540" s="634">
        <f>SUM(D541:D549)</f>
        <v>20766441.719999999</v>
      </c>
      <c r="E540" s="635">
        <f>D540/C540*100</f>
        <v>82.029523996344736</v>
      </c>
      <c r="F540" s="37"/>
      <c r="G540" s="38" t="s">
        <v>40</v>
      </c>
      <c r="I540" s="38" t="s">
        <v>713</v>
      </c>
      <c r="J540" s="4">
        <f>B538</f>
        <v>0</v>
      </c>
      <c r="K540" s="4">
        <f>C538</f>
        <v>1531000</v>
      </c>
      <c r="L540" s="4">
        <f>D538</f>
        <v>1524283</v>
      </c>
    </row>
    <row r="541" spans="1:12" x14ac:dyDescent="0.2">
      <c r="A541" s="620" t="s">
        <v>457</v>
      </c>
      <c r="B541" s="613">
        <v>400000</v>
      </c>
      <c r="C541" s="613">
        <v>0</v>
      </c>
      <c r="D541" s="613">
        <v>0</v>
      </c>
      <c r="E541" s="615">
        <v>0</v>
      </c>
      <c r="F541" s="37"/>
      <c r="G541" s="150"/>
      <c r="I541" s="38" t="s">
        <v>40</v>
      </c>
      <c r="J541" s="4">
        <f>B540</f>
        <v>560000</v>
      </c>
      <c r="K541" s="4">
        <f>C540</f>
        <v>25315814</v>
      </c>
      <c r="L541" s="4">
        <f>D540</f>
        <v>20766441.719999999</v>
      </c>
    </row>
    <row r="542" spans="1:12" x14ac:dyDescent="0.2">
      <c r="A542" s="254" t="s">
        <v>458</v>
      </c>
      <c r="B542" s="528">
        <v>160000</v>
      </c>
      <c r="C542" s="528">
        <v>0</v>
      </c>
      <c r="D542" s="528">
        <v>0</v>
      </c>
      <c r="E542" s="245">
        <v>0</v>
      </c>
      <c r="F542" s="37"/>
      <c r="G542" s="150"/>
      <c r="I542" s="38" t="s">
        <v>715</v>
      </c>
      <c r="J542" s="4">
        <f>B550</f>
        <v>400000000</v>
      </c>
      <c r="K542" s="4">
        <f>C550</f>
        <v>0</v>
      </c>
      <c r="L542" s="4">
        <f>D550</f>
        <v>0</v>
      </c>
    </row>
    <row r="543" spans="1:12" x14ac:dyDescent="0.2">
      <c r="A543" s="254" t="s">
        <v>459</v>
      </c>
      <c r="B543" s="528">
        <v>0</v>
      </c>
      <c r="C543" s="528">
        <v>6642900</v>
      </c>
      <c r="D543" s="528">
        <v>6642900</v>
      </c>
      <c r="E543" s="245">
        <f t="shared" ref="E543:E549" si="33">D543/C543*100</f>
        <v>100</v>
      </c>
      <c r="F543" s="37"/>
      <c r="G543" s="201"/>
      <c r="H543" s="57"/>
      <c r="I543" s="49" t="s">
        <v>41</v>
      </c>
      <c r="J543" s="149">
        <f>B552</f>
        <v>1544000</v>
      </c>
      <c r="K543" s="149">
        <f>C552</f>
        <v>1544000</v>
      </c>
      <c r="L543" s="149">
        <f>D552</f>
        <v>1541274.01</v>
      </c>
    </row>
    <row r="544" spans="1:12" ht="25.5" x14ac:dyDescent="0.2">
      <c r="A544" s="254" t="s">
        <v>460</v>
      </c>
      <c r="B544" s="253">
        <v>0</v>
      </c>
      <c r="C544" s="253">
        <v>7514100</v>
      </c>
      <c r="D544" s="253">
        <v>7514100</v>
      </c>
      <c r="E544" s="245">
        <f t="shared" si="33"/>
        <v>100</v>
      </c>
      <c r="F544" s="37"/>
      <c r="G544" s="201"/>
      <c r="H544" s="57"/>
      <c r="I544" s="38" t="s">
        <v>455</v>
      </c>
      <c r="J544" s="4">
        <f>B556</f>
        <v>0</v>
      </c>
      <c r="K544" s="4">
        <f>C556</f>
        <v>800000</v>
      </c>
      <c r="L544" s="4">
        <f>D556</f>
        <v>0</v>
      </c>
    </row>
    <row r="545" spans="1:12" ht="15" x14ac:dyDescent="0.25">
      <c r="A545" s="254" t="s">
        <v>461</v>
      </c>
      <c r="B545" s="529">
        <v>0</v>
      </c>
      <c r="C545" s="529">
        <v>2460000</v>
      </c>
      <c r="D545" s="529">
        <v>2272956.9500000002</v>
      </c>
      <c r="E545" s="245">
        <f t="shared" si="33"/>
        <v>92.396623983739843</v>
      </c>
      <c r="F545" s="37"/>
      <c r="G545" s="201"/>
      <c r="H545" s="57"/>
      <c r="I545" s="111"/>
      <c r="J545" s="126">
        <f>SUM(J540:J544)</f>
        <v>402104000</v>
      </c>
      <c r="K545" s="126">
        <f t="shared" ref="K545:L545" si="34">SUM(K540:K544)</f>
        <v>29190814</v>
      </c>
      <c r="L545" s="126">
        <f t="shared" si="34"/>
        <v>23831998.73</v>
      </c>
    </row>
    <row r="546" spans="1:12" ht="38.25" x14ac:dyDescent="0.2">
      <c r="A546" s="254" t="s">
        <v>462</v>
      </c>
      <c r="B546" s="253">
        <v>0</v>
      </c>
      <c r="C546" s="253">
        <v>1940000</v>
      </c>
      <c r="D546" s="253">
        <v>309513.87</v>
      </c>
      <c r="E546" s="245">
        <f t="shared" si="33"/>
        <v>15.954323195876288</v>
      </c>
      <c r="F546" s="37"/>
      <c r="G546" s="201"/>
      <c r="H546" s="57"/>
      <c r="I546" s="111"/>
      <c r="J546" s="207"/>
      <c r="K546" s="207"/>
      <c r="L546" s="207"/>
    </row>
    <row r="547" spans="1:12" x14ac:dyDescent="0.2">
      <c r="A547" s="254" t="s">
        <v>463</v>
      </c>
      <c r="B547" s="529">
        <v>0</v>
      </c>
      <c r="C547" s="529">
        <v>973000</v>
      </c>
      <c r="D547" s="528">
        <v>272975.90000000002</v>
      </c>
      <c r="E547" s="245">
        <f t="shared" si="33"/>
        <v>28.055077081192191</v>
      </c>
      <c r="F547" s="37"/>
      <c r="G547" s="201"/>
      <c r="H547" s="57"/>
      <c r="I547" s="111"/>
      <c r="J547" s="207"/>
      <c r="K547" s="207"/>
      <c r="L547" s="207"/>
    </row>
    <row r="548" spans="1:12" x14ac:dyDescent="0.2">
      <c r="A548" s="254" t="s">
        <v>464</v>
      </c>
      <c r="B548" s="529">
        <v>0</v>
      </c>
      <c r="C548" s="529">
        <v>814814</v>
      </c>
      <c r="D548" s="529">
        <v>814814</v>
      </c>
      <c r="E548" s="245">
        <f t="shared" si="33"/>
        <v>100</v>
      </c>
      <c r="F548" s="37"/>
      <c r="G548" s="201"/>
      <c r="H548" s="57"/>
      <c r="I548" s="111"/>
      <c r="J548" s="207"/>
      <c r="K548" s="207"/>
      <c r="L548" s="207"/>
    </row>
    <row r="549" spans="1:12" x14ac:dyDescent="0.2">
      <c r="A549" s="254" t="s">
        <v>465</v>
      </c>
      <c r="B549" s="529">
        <v>0</v>
      </c>
      <c r="C549" s="529">
        <v>4971000</v>
      </c>
      <c r="D549" s="529">
        <v>2939181</v>
      </c>
      <c r="E549" s="245">
        <f t="shared" si="33"/>
        <v>59.126554013277008</v>
      </c>
      <c r="F549" s="37"/>
      <c r="G549" s="201"/>
      <c r="H549" s="57"/>
      <c r="I549" s="111"/>
      <c r="J549" s="207"/>
      <c r="K549" s="207"/>
      <c r="L549" s="207"/>
    </row>
    <row r="550" spans="1:12" ht="15" x14ac:dyDescent="0.2">
      <c r="A550" s="633" t="s">
        <v>466</v>
      </c>
      <c r="B550" s="634">
        <f>SUM(B551)</f>
        <v>400000000</v>
      </c>
      <c r="C550" s="634">
        <f>SUM(C551)</f>
        <v>0</v>
      </c>
      <c r="D550" s="634">
        <f>SUM(D551)</f>
        <v>0</v>
      </c>
      <c r="E550" s="635">
        <v>0</v>
      </c>
      <c r="F550" s="37"/>
      <c r="G550" s="57"/>
      <c r="H550" s="656"/>
      <c r="I550" s="4"/>
      <c r="J550" s="4"/>
      <c r="K550" s="4"/>
    </row>
    <row r="551" spans="1:12" x14ac:dyDescent="0.2">
      <c r="A551" s="620" t="s">
        <v>467</v>
      </c>
      <c r="B551" s="613">
        <v>400000000</v>
      </c>
      <c r="C551" s="613">
        <v>0</v>
      </c>
      <c r="D551" s="613">
        <v>0</v>
      </c>
      <c r="E551" s="615">
        <v>0</v>
      </c>
      <c r="F551" s="106"/>
      <c r="G551" s="57" t="s">
        <v>714</v>
      </c>
      <c r="H551" s="57"/>
    </row>
    <row r="552" spans="1:12" ht="15" x14ac:dyDescent="0.2">
      <c r="A552" s="633" t="s">
        <v>32</v>
      </c>
      <c r="B552" s="634">
        <f>SUM(B553:B553)</f>
        <v>1544000</v>
      </c>
      <c r="C552" s="634">
        <f>SUM(C553:C553)</f>
        <v>1544000</v>
      </c>
      <c r="D552" s="634">
        <f>SUM(D553:D553)</f>
        <v>1541274.01</v>
      </c>
      <c r="E552" s="635">
        <f>D552/C552*100</f>
        <v>99.823446243523321</v>
      </c>
      <c r="F552" s="37"/>
      <c r="G552" s="57" t="s">
        <v>42</v>
      </c>
      <c r="H552" s="656"/>
    </row>
    <row r="553" spans="1:12" x14ac:dyDescent="0.2">
      <c r="A553" s="623" t="s">
        <v>45</v>
      </c>
      <c r="B553" s="636">
        <v>1544000</v>
      </c>
      <c r="C553" s="636">
        <v>1544000</v>
      </c>
      <c r="D553" s="636">
        <v>1541274.01</v>
      </c>
      <c r="E553" s="615">
        <f>D553/C553*100</f>
        <v>99.823446243523321</v>
      </c>
      <c r="F553" s="37"/>
      <c r="G553" s="57"/>
      <c r="H553" s="57"/>
    </row>
    <row r="554" spans="1:12" ht="13.5" hidden="1" thickTop="1" x14ac:dyDescent="0.2">
      <c r="A554" s="161"/>
      <c r="B554" s="74"/>
      <c r="C554" s="74"/>
      <c r="D554" s="74"/>
      <c r="E554" s="53"/>
      <c r="F554" s="37"/>
      <c r="G554" s="57"/>
      <c r="H554" s="57"/>
    </row>
    <row r="555" spans="1:12" hidden="1" x14ac:dyDescent="0.2">
      <c r="A555" s="67"/>
      <c r="B555" s="68"/>
      <c r="C555" s="68"/>
      <c r="D555" s="68"/>
      <c r="E555" s="53"/>
      <c r="G555" s="57"/>
      <c r="H555" s="57"/>
    </row>
    <row r="556" spans="1:12" ht="15" x14ac:dyDescent="0.2">
      <c r="A556" s="633" t="s">
        <v>385</v>
      </c>
      <c r="B556" s="634">
        <f>SUM(B557)</f>
        <v>0</v>
      </c>
      <c r="C556" s="634">
        <f>SUM(C557)</f>
        <v>800000</v>
      </c>
      <c r="D556" s="634">
        <f>SUM(D557)</f>
        <v>0</v>
      </c>
      <c r="E556" s="635">
        <f>D556/C556*100</f>
        <v>0</v>
      </c>
      <c r="F556" s="37"/>
      <c r="G556" s="38" t="s">
        <v>455</v>
      </c>
    </row>
    <row r="557" spans="1:12" ht="13.5" thickBot="1" x14ac:dyDescent="0.25">
      <c r="A557" s="185" t="s">
        <v>454</v>
      </c>
      <c r="B557" s="139">
        <v>0</v>
      </c>
      <c r="C557" s="139">
        <v>800000</v>
      </c>
      <c r="D557" s="139">
        <v>0</v>
      </c>
      <c r="E557" s="140">
        <f>D557/C557*100</f>
        <v>0</v>
      </c>
      <c r="F557" s="37" t="s">
        <v>386</v>
      </c>
    </row>
    <row r="558" spans="1:12" ht="13.5" thickTop="1" x14ac:dyDescent="0.2">
      <c r="A558" s="67"/>
      <c r="B558" s="68"/>
      <c r="C558" s="68"/>
      <c r="D558" s="68"/>
      <c r="E558" s="53"/>
      <c r="G558" s="57"/>
      <c r="H558" s="57"/>
    </row>
    <row r="559" spans="1:12" x14ac:dyDescent="0.2">
      <c r="A559" s="67"/>
      <c r="B559" s="68"/>
      <c r="C559" s="68"/>
      <c r="D559" s="68"/>
      <c r="E559" s="53"/>
      <c r="G559" s="57"/>
      <c r="H559" s="57"/>
    </row>
    <row r="560" spans="1:12" x14ac:dyDescent="0.2">
      <c r="A560" s="67"/>
      <c r="B560" s="68"/>
      <c r="C560" s="68"/>
      <c r="D560" s="68"/>
      <c r="E560" s="53"/>
      <c r="G560" s="57"/>
      <c r="H560" s="57"/>
    </row>
    <row r="561" spans="1:12" ht="18.75" thickBot="1" x14ac:dyDescent="0.25">
      <c r="A561" s="63" t="s">
        <v>722</v>
      </c>
      <c r="B561" s="64">
        <f>SUM(B540,B552,B556,B538,B550)</f>
        <v>402104000</v>
      </c>
      <c r="C561" s="64">
        <f t="shared" ref="C561:D561" si="35">SUM(C540,C552,C556,C538,C550)</f>
        <v>29190814</v>
      </c>
      <c r="D561" s="64">
        <f t="shared" si="35"/>
        <v>23831998.73</v>
      </c>
      <c r="E561" s="65">
        <f>D561/C561*100</f>
        <v>81.642117722376639</v>
      </c>
      <c r="G561" s="57"/>
      <c r="H561" s="57"/>
    </row>
    <row r="562" spans="1:12" ht="18.75" thickTop="1" x14ac:dyDescent="0.2">
      <c r="A562" s="155"/>
      <c r="B562" s="156"/>
      <c r="C562" s="156"/>
      <c r="D562" s="156"/>
      <c r="E562" s="157"/>
      <c r="G562" s="57"/>
      <c r="H562" s="57"/>
      <c r="I562" s="129" t="s">
        <v>36</v>
      </c>
      <c r="J562" s="130">
        <f>J476+J315+J170+J364</f>
        <v>2501000</v>
      </c>
      <c r="K562" s="130">
        <f t="shared" ref="K562:L562" si="36">K476+K315+K170+K364</f>
        <v>4521520</v>
      </c>
      <c r="L562" s="130">
        <f t="shared" si="36"/>
        <v>3731134.7</v>
      </c>
    </row>
    <row r="563" spans="1:12" x14ac:dyDescent="0.2">
      <c r="B563" s="4"/>
      <c r="F563" s="101"/>
      <c r="G563" s="57"/>
      <c r="H563" s="57"/>
      <c r="I563" s="118" t="s">
        <v>33</v>
      </c>
      <c r="J563" s="175">
        <f t="shared" ref="J563:L564" si="37">J524+J477+J362+J313+J171</f>
        <v>377219000</v>
      </c>
      <c r="K563" s="175">
        <f t="shared" si="37"/>
        <v>461456793.59999996</v>
      </c>
      <c r="L563" s="175">
        <f t="shared" si="37"/>
        <v>373968089.03999996</v>
      </c>
    </row>
    <row r="564" spans="1:12" ht="14.25" x14ac:dyDescent="0.2">
      <c r="A564" s="71" t="s">
        <v>12</v>
      </c>
      <c r="B564" s="71"/>
      <c r="C564" s="71"/>
      <c r="D564" s="71"/>
      <c r="E564" s="72"/>
      <c r="F564" s="102"/>
      <c r="G564" s="57"/>
      <c r="H564" s="57"/>
      <c r="I564" s="123" t="s">
        <v>35</v>
      </c>
      <c r="J564" s="176">
        <f t="shared" si="37"/>
        <v>75929000</v>
      </c>
      <c r="K564" s="176">
        <f t="shared" si="37"/>
        <v>350268616.81999999</v>
      </c>
      <c r="L564" s="176">
        <f t="shared" si="37"/>
        <v>350165577.08999997</v>
      </c>
    </row>
    <row r="565" spans="1:12" ht="14.25" x14ac:dyDescent="0.2">
      <c r="A565" s="73" t="s">
        <v>16</v>
      </c>
      <c r="B565" s="74">
        <f>SUM(B173)</f>
        <v>235852000</v>
      </c>
      <c r="C565" s="74">
        <f>SUM(C173)</f>
        <v>300357844.17000002</v>
      </c>
      <c r="D565" s="74">
        <f>SUM(D173)</f>
        <v>268295797.80999994</v>
      </c>
      <c r="E565" s="75">
        <f t="shared" ref="E565:E571" si="38">D565/C565*100</f>
        <v>89.325384043623231</v>
      </c>
      <c r="F565" s="103"/>
      <c r="G565" s="57"/>
      <c r="H565" s="57"/>
      <c r="I565" s="38" t="s">
        <v>713</v>
      </c>
      <c r="J565" s="4">
        <f t="shared" ref="J565:L569" si="39">J540</f>
        <v>0</v>
      </c>
      <c r="K565" s="4">
        <f t="shared" si="39"/>
        <v>1531000</v>
      </c>
      <c r="L565" s="4">
        <f t="shared" si="39"/>
        <v>1524283</v>
      </c>
    </row>
    <row r="566" spans="1:12" ht="14.25" x14ac:dyDescent="0.2">
      <c r="A566" s="73" t="s">
        <v>15</v>
      </c>
      <c r="B566" s="74">
        <f>SUM(B317)</f>
        <v>81439000</v>
      </c>
      <c r="C566" s="74">
        <f>SUM(C317)</f>
        <v>110724081.33999999</v>
      </c>
      <c r="D566" s="74">
        <f>SUM(D317)</f>
        <v>90602218.310000002</v>
      </c>
      <c r="E566" s="75">
        <f t="shared" si="38"/>
        <v>81.8270219210834</v>
      </c>
      <c r="F566" s="104"/>
      <c r="G566" s="57"/>
      <c r="H566" s="57"/>
      <c r="I566" s="38" t="s">
        <v>40</v>
      </c>
      <c r="J566" s="177">
        <f t="shared" si="39"/>
        <v>560000</v>
      </c>
      <c r="K566" s="177">
        <f t="shared" si="39"/>
        <v>25315814</v>
      </c>
      <c r="L566" s="177">
        <f t="shared" si="39"/>
        <v>20766441.719999999</v>
      </c>
    </row>
    <row r="567" spans="1:12" ht="14.25" x14ac:dyDescent="0.2">
      <c r="A567" s="73" t="s">
        <v>17</v>
      </c>
      <c r="B567" s="74">
        <f>SUM(B370)</f>
        <v>43813000</v>
      </c>
      <c r="C567" s="74">
        <f>SUM(C370)</f>
        <v>35053419.710000001</v>
      </c>
      <c r="D567" s="74">
        <f>SUM(D370)</f>
        <v>23432655.629999999</v>
      </c>
      <c r="E567" s="75">
        <f t="shared" si="38"/>
        <v>66.848415429536985</v>
      </c>
      <c r="G567" s="57"/>
      <c r="H567" s="57"/>
      <c r="I567" s="38" t="s">
        <v>715</v>
      </c>
      <c r="J567" s="177">
        <f t="shared" si="39"/>
        <v>400000000</v>
      </c>
      <c r="K567" s="177">
        <f t="shared" si="39"/>
        <v>0</v>
      </c>
      <c r="L567" s="177">
        <f t="shared" si="39"/>
        <v>0</v>
      </c>
    </row>
    <row r="568" spans="1:12" ht="14.25" x14ac:dyDescent="0.2">
      <c r="A568" s="73" t="s">
        <v>13</v>
      </c>
      <c r="B568" s="74">
        <f>SUM(B484)</f>
        <v>89633000</v>
      </c>
      <c r="C568" s="74">
        <f>SUM(C484)</f>
        <v>326376641.66000003</v>
      </c>
      <c r="D568" s="74">
        <f>SUM(D484)</f>
        <v>307841849.11999995</v>
      </c>
      <c r="E568" s="75">
        <f t="shared" si="38"/>
        <v>94.321041957620082</v>
      </c>
      <c r="G568" s="57"/>
      <c r="H568" s="57"/>
      <c r="I568" s="38" t="s">
        <v>41</v>
      </c>
      <c r="J568" s="177">
        <f t="shared" si="39"/>
        <v>1544000</v>
      </c>
      <c r="K568" s="177">
        <f t="shared" si="39"/>
        <v>1544000</v>
      </c>
      <c r="L568" s="177">
        <f t="shared" si="39"/>
        <v>1541274.01</v>
      </c>
    </row>
    <row r="569" spans="1:12" ht="14.25" x14ac:dyDescent="0.2">
      <c r="A569" s="73" t="s">
        <v>14</v>
      </c>
      <c r="B569" s="74">
        <f>SUM(B532)</f>
        <v>4912000</v>
      </c>
      <c r="C569" s="74">
        <f>SUM(C532)</f>
        <v>43734943.539999999</v>
      </c>
      <c r="D569" s="74">
        <f>SUM(D532)</f>
        <v>37692279.960000001</v>
      </c>
      <c r="E569" s="75">
        <f t="shared" si="38"/>
        <v>86.183442595568067</v>
      </c>
      <c r="G569" s="57"/>
      <c r="H569" s="57"/>
      <c r="I569" s="38" t="s">
        <v>455</v>
      </c>
      <c r="J569" s="177">
        <f t="shared" si="39"/>
        <v>0</v>
      </c>
      <c r="K569" s="177">
        <f t="shared" si="39"/>
        <v>800000</v>
      </c>
      <c r="L569" s="177">
        <f t="shared" si="39"/>
        <v>0</v>
      </c>
    </row>
    <row r="570" spans="1:12" ht="14.25" x14ac:dyDescent="0.2">
      <c r="A570" s="73" t="s">
        <v>67</v>
      </c>
      <c r="B570" s="74">
        <f>SUM(B561)</f>
        <v>402104000</v>
      </c>
      <c r="C570" s="74">
        <f>SUM(C561)</f>
        <v>29190814</v>
      </c>
      <c r="D570" s="74">
        <f>SUM(D561)</f>
        <v>23831998.73</v>
      </c>
      <c r="E570" s="75">
        <f t="shared" si="38"/>
        <v>81.642117722376639</v>
      </c>
      <c r="I570" s="38"/>
      <c r="J570" s="4"/>
      <c r="K570" s="4"/>
      <c r="L570" s="4"/>
    </row>
    <row r="571" spans="1:12" ht="16.5" thickBot="1" x14ac:dyDescent="0.3">
      <c r="A571" s="76" t="s">
        <v>3</v>
      </c>
      <c r="B571" s="77">
        <f>SUM(B565:B570)</f>
        <v>857753000</v>
      </c>
      <c r="C571" s="77">
        <f>SUM(C565:C570)</f>
        <v>845437744.41999996</v>
      </c>
      <c r="D571" s="77">
        <f>SUM(D565:D570)</f>
        <v>751696799.55999994</v>
      </c>
      <c r="E571" s="78">
        <f t="shared" si="38"/>
        <v>88.912141020589331</v>
      </c>
      <c r="I571" s="38"/>
      <c r="J571" s="126">
        <f>SUM(J562:J570)</f>
        <v>857753000</v>
      </c>
      <c r="K571" s="126">
        <f>SUM(K562:K570)</f>
        <v>845437744.41999996</v>
      </c>
      <c r="L571" s="126">
        <f>SUM(L562:L570)</f>
        <v>751696799.55999994</v>
      </c>
    </row>
    <row r="572" spans="1:12" ht="13.5" thickTop="1" x14ac:dyDescent="0.2">
      <c r="F572" s="1"/>
      <c r="G572" s="1"/>
      <c r="H572" s="131"/>
    </row>
    <row r="573" spans="1:12" x14ac:dyDescent="0.2">
      <c r="F573" s="1"/>
      <c r="G573" s="1"/>
    </row>
    <row r="574" spans="1:12" x14ac:dyDescent="0.2">
      <c r="F574" s="1"/>
      <c r="G574" s="1"/>
    </row>
    <row r="575" spans="1:12" x14ac:dyDescent="0.2">
      <c r="A575" s="125"/>
      <c r="B575" s="178"/>
      <c r="C575" s="178"/>
      <c r="D575" s="178"/>
      <c r="E575" s="2"/>
      <c r="F575" s="1"/>
      <c r="G575" s="1"/>
    </row>
    <row r="576" spans="1:12" x14ac:dyDescent="0.2">
      <c r="A576" s="179"/>
      <c r="B576" s="180"/>
      <c r="C576" s="180"/>
      <c r="D576" s="180"/>
      <c r="E576" s="2"/>
      <c r="F576" s="1"/>
      <c r="G576" s="1"/>
    </row>
    <row r="577" spans="1:11" x14ac:dyDescent="0.2">
      <c r="A577" s="179"/>
      <c r="B577" s="180"/>
      <c r="C577" s="180"/>
      <c r="D577" s="180"/>
      <c r="E577" s="2"/>
      <c r="F577" s="1"/>
      <c r="G577" s="1"/>
    </row>
    <row r="578" spans="1:11" x14ac:dyDescent="0.2">
      <c r="A578" s="179"/>
      <c r="B578" s="180"/>
      <c r="C578" s="180"/>
      <c r="D578" s="180"/>
      <c r="E578" s="2"/>
      <c r="F578" s="5"/>
      <c r="G578" s="5"/>
    </row>
    <row r="579" spans="1:11" x14ac:dyDescent="0.2">
      <c r="A579" s="124"/>
      <c r="B579" s="109"/>
      <c r="C579" s="109"/>
      <c r="D579" s="109"/>
      <c r="E579" s="2"/>
      <c r="F579" s="5"/>
      <c r="G579" s="5"/>
    </row>
    <row r="580" spans="1:11" x14ac:dyDescent="0.2">
      <c r="A580" s="124"/>
      <c r="B580" s="109"/>
      <c r="C580" s="109"/>
      <c r="D580" s="109"/>
      <c r="E580" s="2"/>
      <c r="F580" s="5"/>
      <c r="G580" s="5"/>
    </row>
    <row r="581" spans="1:11" x14ac:dyDescent="0.2">
      <c r="E581" s="5"/>
      <c r="F581" s="5"/>
      <c r="G581" s="5"/>
    </row>
    <row r="582" spans="1:11" x14ac:dyDescent="0.2">
      <c r="E582" s="5"/>
      <c r="F582" s="5"/>
      <c r="G582" s="5"/>
      <c r="I582" s="7"/>
      <c r="J582" s="7"/>
      <c r="K582" s="7"/>
    </row>
    <row r="583" spans="1:11" x14ac:dyDescent="0.2">
      <c r="E583" s="5"/>
      <c r="F583" s="5"/>
      <c r="G583" s="5"/>
    </row>
    <row r="584" spans="1:11" x14ac:dyDescent="0.2">
      <c r="E584" s="5"/>
      <c r="F584" s="5"/>
      <c r="G584" s="5"/>
    </row>
    <row r="585" spans="1:11" x14ac:dyDescent="0.2">
      <c r="E585" s="5"/>
    </row>
    <row r="586" spans="1:11" x14ac:dyDescent="0.2">
      <c r="E586" s="5"/>
    </row>
    <row r="587" spans="1:11" x14ac:dyDescent="0.2">
      <c r="E587" s="5"/>
    </row>
  </sheetData>
  <pageMargins left="0.78740157480314965" right="0.78740157480314965" top="0.98425196850393704" bottom="0.98425196850393704" header="0.51181102362204722" footer="0.51181102362204722"/>
  <pageSetup paperSize="9" scale="63" firstPageNumber="169" fitToHeight="5" orientation="portrait" useFirstPageNumber="1" r:id="rId1"/>
  <headerFooter alignWithMargins="0">
    <oddFooter xml:space="preserve">&amp;L&amp;"Arial,Kurzíva"Zastupitelstvo Olomouckého kraje 25. 6. 2018
5. - Rozpočet Olomouckého kraje 2017 - závěrečný účet
Příloha č. 8: Přehled financování oprav a investic v roce 2017&amp;R&amp;"Arial,Kurzíva"Strana &amp;P (celkem 478)
</oddFooter>
  </headerFooter>
  <rowBreaks count="11" manualBreakCount="11">
    <brk id="66" max="4" man="1"/>
    <brk id="113" max="4" man="1"/>
    <brk id="174" max="4" man="1"/>
    <brk id="240" max="4" man="1"/>
    <brk id="290" max="4" man="1"/>
    <brk id="318" max="4" man="1"/>
    <brk id="372" max="4" man="1"/>
    <brk id="437" max="4" man="1"/>
    <brk id="487" max="4" man="1"/>
    <brk id="534" max="4" man="1"/>
    <brk id="576" max="4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31"/>
  <sheetViews>
    <sheetView showGridLines="0" view="pageBreakPreview" zoomScaleNormal="100" zoomScaleSheetLayoutView="100" workbookViewId="0">
      <selection activeCell="A199" sqref="A199"/>
    </sheetView>
  </sheetViews>
  <sheetFormatPr defaultRowHeight="12.75" x14ac:dyDescent="0.2"/>
  <cols>
    <col min="1" max="1" width="77.7109375" style="278" customWidth="1"/>
    <col min="2" max="2" width="17.140625" style="278" customWidth="1"/>
    <col min="3" max="3" width="17.28515625" style="278" customWidth="1"/>
    <col min="4" max="4" width="17.28515625" style="278" bestFit="1" customWidth="1"/>
    <col min="5" max="5" width="7.5703125" style="279" customWidth="1"/>
    <col min="6" max="6" width="15.28515625" style="280" customWidth="1"/>
    <col min="7" max="7" width="19.140625" style="281" customWidth="1"/>
    <col min="8" max="8" width="16.140625" style="281" customWidth="1"/>
    <col min="9" max="9" width="20.5703125" style="278" customWidth="1"/>
    <col min="10" max="10" width="18.28515625" style="278" customWidth="1"/>
    <col min="11" max="11" width="20.7109375" style="278" customWidth="1"/>
    <col min="12" max="12" width="17.5703125" style="278" customWidth="1"/>
    <col min="13" max="16384" width="9.140625" style="278"/>
  </cols>
  <sheetData>
    <row r="1" spans="1:11" s="274" customFormat="1" ht="18" x14ac:dyDescent="0.25">
      <c r="A1" s="270" t="s">
        <v>207</v>
      </c>
      <c r="B1" s="270"/>
      <c r="C1" s="270"/>
      <c r="D1" s="270"/>
      <c r="E1" s="270"/>
      <c r="F1" s="271"/>
      <c r="G1" s="272"/>
      <c r="H1" s="273"/>
    </row>
    <row r="2" spans="1:11" s="277" customFormat="1" ht="15.75" x14ac:dyDescent="0.25">
      <c r="A2" s="275" t="s">
        <v>732</v>
      </c>
      <c r="B2" s="276"/>
      <c r="C2" s="276"/>
      <c r="D2" s="276"/>
      <c r="E2" s="276"/>
      <c r="F2" s="271"/>
      <c r="G2" s="272"/>
      <c r="H2" s="273"/>
    </row>
    <row r="3" spans="1:11" ht="12" customHeight="1" x14ac:dyDescent="0.2"/>
    <row r="4" spans="1:11" ht="15" customHeight="1" x14ac:dyDescent="0.25">
      <c r="A4" s="282" t="s">
        <v>19</v>
      </c>
    </row>
    <row r="5" spans="1:11" ht="15.75" thickBot="1" x14ac:dyDescent="0.3">
      <c r="A5" s="283" t="s">
        <v>303</v>
      </c>
      <c r="B5" s="274"/>
      <c r="D5" s="284"/>
      <c r="E5" s="285" t="s">
        <v>18</v>
      </c>
    </row>
    <row r="6" spans="1:11" ht="14.25" thickTop="1" thickBot="1" x14ac:dyDescent="0.25">
      <c r="A6" s="286" t="s">
        <v>5</v>
      </c>
      <c r="B6" s="287" t="s">
        <v>0</v>
      </c>
      <c r="C6" s="288" t="s">
        <v>1</v>
      </c>
      <c r="D6" s="289" t="s">
        <v>4</v>
      </c>
      <c r="E6" s="290" t="s">
        <v>6</v>
      </c>
    </row>
    <row r="7" spans="1:11" ht="15.75" thickTop="1" x14ac:dyDescent="0.25">
      <c r="A7" s="291" t="s">
        <v>7</v>
      </c>
      <c r="B7" s="292">
        <f>SUM(B8:B48)</f>
        <v>80546000</v>
      </c>
      <c r="C7" s="292">
        <f t="shared" ref="C7:D7" si="0">SUM(C8:C48)</f>
        <v>52114500</v>
      </c>
      <c r="D7" s="292">
        <f t="shared" si="0"/>
        <v>44652975.519999996</v>
      </c>
      <c r="E7" s="293">
        <f>D7/C7*100</f>
        <v>85.682440625929431</v>
      </c>
      <c r="H7" s="294"/>
      <c r="I7" s="295"/>
      <c r="J7" s="296"/>
      <c r="K7" s="297"/>
    </row>
    <row r="8" spans="1:11" x14ac:dyDescent="0.2">
      <c r="A8" s="436" t="s">
        <v>468</v>
      </c>
      <c r="B8" s="593">
        <v>5000000</v>
      </c>
      <c r="C8" s="302">
        <v>0</v>
      </c>
      <c r="D8" s="302">
        <v>0</v>
      </c>
      <c r="E8" s="303">
        <v>0</v>
      </c>
      <c r="G8" s="299" t="s">
        <v>106</v>
      </c>
      <c r="H8" s="294"/>
      <c r="I8" s="295"/>
      <c r="J8" s="296"/>
      <c r="K8" s="297"/>
    </row>
    <row r="9" spans="1:11" x14ac:dyDescent="0.2">
      <c r="A9" s="531" t="s">
        <v>304</v>
      </c>
      <c r="B9" s="591">
        <v>200000</v>
      </c>
      <c r="C9" s="532">
        <v>414500</v>
      </c>
      <c r="D9" s="532">
        <v>0</v>
      </c>
      <c r="E9" s="533">
        <f>D9/C9*100</f>
        <v>0</v>
      </c>
      <c r="F9" s="280">
        <v>100661</v>
      </c>
      <c r="G9" s="299" t="s">
        <v>106</v>
      </c>
      <c r="H9" s="294"/>
      <c r="I9" s="295"/>
      <c r="J9" s="296"/>
      <c r="K9" s="297"/>
    </row>
    <row r="10" spans="1:11" ht="25.5" x14ac:dyDescent="0.2">
      <c r="A10" s="531" t="s">
        <v>305</v>
      </c>
      <c r="B10" s="591">
        <v>100000</v>
      </c>
      <c r="C10" s="532">
        <v>100000</v>
      </c>
      <c r="D10" s="532">
        <v>0</v>
      </c>
      <c r="E10" s="533">
        <f>D10/C10*100</f>
        <v>0</v>
      </c>
      <c r="F10" s="280">
        <v>100700</v>
      </c>
      <c r="G10" s="299" t="s">
        <v>106</v>
      </c>
      <c r="H10" s="294"/>
      <c r="I10" s="295"/>
      <c r="J10" s="296"/>
      <c r="K10" s="297"/>
    </row>
    <row r="11" spans="1:11" x14ac:dyDescent="0.2">
      <c r="A11" s="682" t="s">
        <v>306</v>
      </c>
      <c r="B11" s="592">
        <f>20850000+7479000</f>
        <v>28329000</v>
      </c>
      <c r="C11" s="300">
        <f>500000+1979000</f>
        <v>2479000</v>
      </c>
      <c r="D11" s="300">
        <f>189254+66885.9</f>
        <v>256139.9</v>
      </c>
      <c r="E11" s="301">
        <f>D11/C11*100</f>
        <v>10.332388059701492</v>
      </c>
      <c r="F11" s="280">
        <v>100876</v>
      </c>
      <c r="G11" s="299" t="s">
        <v>307</v>
      </c>
      <c r="H11" s="294"/>
      <c r="I11" s="295"/>
      <c r="J11" s="296"/>
      <c r="K11" s="297"/>
    </row>
    <row r="12" spans="1:11" x14ac:dyDescent="0.2">
      <c r="A12" s="680"/>
      <c r="B12" s="593">
        <v>5902000</v>
      </c>
      <c r="C12" s="302">
        <v>0</v>
      </c>
      <c r="D12" s="302">
        <v>0</v>
      </c>
      <c r="E12" s="303">
        <v>0</v>
      </c>
      <c r="F12" s="280">
        <v>100876</v>
      </c>
      <c r="G12" s="299" t="s">
        <v>308</v>
      </c>
      <c r="H12" s="294"/>
      <c r="I12" s="295"/>
      <c r="J12" s="296"/>
      <c r="K12" s="297"/>
    </row>
    <row r="13" spans="1:11" ht="25.5" x14ac:dyDescent="0.2">
      <c r="A13" s="531" t="s">
        <v>309</v>
      </c>
      <c r="B13" s="591">
        <v>200000</v>
      </c>
      <c r="C13" s="532">
        <v>100000</v>
      </c>
      <c r="D13" s="532">
        <v>17061</v>
      </c>
      <c r="E13" s="533">
        <f t="shared" ref="E13:E19" si="1">D13/C13*100</f>
        <v>17.061</v>
      </c>
      <c r="F13" s="304">
        <v>101018</v>
      </c>
      <c r="G13" s="305" t="s">
        <v>106</v>
      </c>
      <c r="H13" s="294"/>
      <c r="I13" s="295"/>
      <c r="J13" s="296"/>
      <c r="K13" s="297"/>
    </row>
    <row r="14" spans="1:11" x14ac:dyDescent="0.2">
      <c r="A14" s="531" t="s">
        <v>310</v>
      </c>
      <c r="B14" s="591">
        <v>100000</v>
      </c>
      <c r="C14" s="532">
        <v>100000</v>
      </c>
      <c r="D14" s="532">
        <v>9075</v>
      </c>
      <c r="E14" s="533">
        <f t="shared" si="1"/>
        <v>9.0749999999999993</v>
      </c>
      <c r="F14" s="280">
        <v>101019</v>
      </c>
      <c r="G14" s="305" t="s">
        <v>106</v>
      </c>
      <c r="H14" s="294"/>
      <c r="I14" s="295"/>
      <c r="J14" s="296"/>
      <c r="K14" s="297"/>
    </row>
    <row r="15" spans="1:11" ht="25.5" x14ac:dyDescent="0.2">
      <c r="A15" s="531" t="s">
        <v>311</v>
      </c>
      <c r="B15" s="591">
        <v>200000</v>
      </c>
      <c r="C15" s="532">
        <v>188000</v>
      </c>
      <c r="D15" s="532">
        <v>95227</v>
      </c>
      <c r="E15" s="533">
        <f t="shared" si="1"/>
        <v>50.652659574468082</v>
      </c>
      <c r="F15" s="280">
        <v>101022</v>
      </c>
      <c r="G15" s="305" t="s">
        <v>106</v>
      </c>
      <c r="H15" s="294"/>
      <c r="I15" s="295"/>
      <c r="J15" s="296"/>
      <c r="K15" s="297"/>
    </row>
    <row r="16" spans="1:11" x14ac:dyDescent="0.2">
      <c r="A16" s="531" t="s">
        <v>312</v>
      </c>
      <c r="B16" s="591">
        <v>200000</v>
      </c>
      <c r="C16" s="532">
        <v>195000</v>
      </c>
      <c r="D16" s="532">
        <v>27830</v>
      </c>
      <c r="E16" s="533">
        <f t="shared" si="1"/>
        <v>14.271794871794871</v>
      </c>
      <c r="F16" s="280">
        <v>101050</v>
      </c>
      <c r="G16" s="305" t="s">
        <v>106</v>
      </c>
      <c r="H16" s="294"/>
      <c r="I16" s="295"/>
      <c r="J16" s="296"/>
      <c r="K16" s="297"/>
    </row>
    <row r="17" spans="1:12" ht="25.5" x14ac:dyDescent="0.2">
      <c r="A17" s="531" t="s">
        <v>313</v>
      </c>
      <c r="B17" s="591">
        <v>100000</v>
      </c>
      <c r="C17" s="532">
        <v>100000</v>
      </c>
      <c r="D17" s="532">
        <v>11495</v>
      </c>
      <c r="E17" s="533">
        <f t="shared" si="1"/>
        <v>11.494999999999999</v>
      </c>
      <c r="F17" s="304">
        <v>101056</v>
      </c>
      <c r="G17" s="305" t="s">
        <v>106</v>
      </c>
      <c r="H17" s="294"/>
      <c r="I17" s="295"/>
      <c r="J17" s="296"/>
      <c r="K17" s="297"/>
    </row>
    <row r="18" spans="1:12" ht="25.5" x14ac:dyDescent="0.2">
      <c r="A18" s="531" t="s">
        <v>314</v>
      </c>
      <c r="B18" s="591">
        <v>200000</v>
      </c>
      <c r="C18" s="532">
        <v>188150</v>
      </c>
      <c r="D18" s="532">
        <v>11495</v>
      </c>
      <c r="E18" s="533">
        <f t="shared" si="1"/>
        <v>6.1094871113473292</v>
      </c>
      <c r="F18" s="304">
        <v>101113</v>
      </c>
      <c r="G18" s="305" t="s">
        <v>106</v>
      </c>
      <c r="H18" s="294"/>
      <c r="I18" s="295"/>
      <c r="J18" s="296"/>
      <c r="K18" s="297"/>
    </row>
    <row r="19" spans="1:12" x14ac:dyDescent="0.2">
      <c r="A19" s="682" t="s">
        <v>315</v>
      </c>
      <c r="B19" s="592">
        <f>12615000+13050000</f>
        <v>25665000</v>
      </c>
      <c r="C19" s="300">
        <v>32932000</v>
      </c>
      <c r="D19" s="300">
        <v>32243313.899999999</v>
      </c>
      <c r="E19" s="301">
        <f t="shared" si="1"/>
        <v>97.908763209036792</v>
      </c>
      <c r="F19" s="280">
        <v>101114</v>
      </c>
      <c r="G19" s="299" t="s">
        <v>307</v>
      </c>
      <c r="H19" s="294"/>
      <c r="I19" s="295"/>
      <c r="J19" s="296"/>
      <c r="K19" s="297"/>
    </row>
    <row r="20" spans="1:12" x14ac:dyDescent="0.2">
      <c r="A20" s="680"/>
      <c r="B20" s="593">
        <v>3567000</v>
      </c>
      <c r="C20" s="302">
        <v>0</v>
      </c>
      <c r="D20" s="302">
        <v>0</v>
      </c>
      <c r="E20" s="303">
        <v>0</v>
      </c>
      <c r="F20" s="280">
        <v>101114</v>
      </c>
      <c r="G20" s="299" t="s">
        <v>308</v>
      </c>
      <c r="H20" s="294"/>
      <c r="I20" s="295"/>
      <c r="J20" s="296"/>
      <c r="K20" s="297"/>
    </row>
    <row r="21" spans="1:12" x14ac:dyDescent="0.2">
      <c r="A21" s="682" t="s">
        <v>316</v>
      </c>
      <c r="B21" s="592">
        <v>5006000</v>
      </c>
      <c r="C21" s="300">
        <f>7191000+620000</f>
        <v>7811000</v>
      </c>
      <c r="D21" s="300">
        <f>7071220.4+611337.72</f>
        <v>7682558.1200000001</v>
      </c>
      <c r="E21" s="301">
        <f>D21/C21*100</f>
        <v>98.355628216617603</v>
      </c>
      <c r="F21" s="280">
        <v>101115</v>
      </c>
      <c r="G21" s="299" t="s">
        <v>307</v>
      </c>
      <c r="H21" s="294"/>
      <c r="I21" s="295"/>
      <c r="J21" s="296"/>
      <c r="K21" s="297"/>
    </row>
    <row r="22" spans="1:12" x14ac:dyDescent="0.2">
      <c r="A22" s="680"/>
      <c r="B22" s="593">
        <v>1335000</v>
      </c>
      <c r="C22" s="302">
        <v>0</v>
      </c>
      <c r="D22" s="302">
        <v>0</v>
      </c>
      <c r="E22" s="303">
        <v>0</v>
      </c>
      <c r="F22" s="280">
        <v>101115</v>
      </c>
      <c r="G22" s="299" t="s">
        <v>308</v>
      </c>
      <c r="H22" s="294"/>
      <c r="I22" s="295"/>
      <c r="J22" s="296"/>
      <c r="K22" s="297"/>
    </row>
    <row r="23" spans="1:12" x14ac:dyDescent="0.2">
      <c r="A23" s="531" t="s">
        <v>317</v>
      </c>
      <c r="B23" s="591">
        <v>200000</v>
      </c>
      <c r="C23" s="532">
        <v>100000</v>
      </c>
      <c r="D23" s="532">
        <v>9075</v>
      </c>
      <c r="E23" s="533">
        <f t="shared" ref="E23:E43" si="2">D23/C23*100</f>
        <v>9.0749999999999993</v>
      </c>
      <c r="F23" s="280">
        <v>101120</v>
      </c>
      <c r="G23" s="305" t="s">
        <v>106</v>
      </c>
      <c r="H23" s="294"/>
      <c r="I23" s="295"/>
      <c r="J23" s="296"/>
      <c r="K23" s="297"/>
    </row>
    <row r="24" spans="1:12" ht="25.5" x14ac:dyDescent="0.2">
      <c r="A24" s="531" t="s">
        <v>741</v>
      </c>
      <c r="B24" s="591">
        <v>0</v>
      </c>
      <c r="C24" s="532">
        <v>187550</v>
      </c>
      <c r="D24" s="532">
        <v>78650</v>
      </c>
      <c r="E24" s="533">
        <f t="shared" si="2"/>
        <v>41.935483870967744</v>
      </c>
      <c r="F24" s="280">
        <v>101123</v>
      </c>
      <c r="G24" s="305" t="s">
        <v>106</v>
      </c>
      <c r="H24" s="294"/>
      <c r="I24" s="295"/>
      <c r="J24" s="296"/>
      <c r="K24" s="297"/>
    </row>
    <row r="25" spans="1:12" ht="25.5" x14ac:dyDescent="0.2">
      <c r="A25" s="531" t="s">
        <v>318</v>
      </c>
      <c r="B25" s="591">
        <v>200000</v>
      </c>
      <c r="C25" s="532">
        <v>200000</v>
      </c>
      <c r="D25" s="532">
        <v>103373</v>
      </c>
      <c r="E25" s="533">
        <f t="shared" si="2"/>
        <v>51.686500000000002</v>
      </c>
      <c r="F25" s="280">
        <v>101130</v>
      </c>
      <c r="G25" s="305" t="s">
        <v>106</v>
      </c>
      <c r="H25" s="294"/>
      <c r="I25" s="295"/>
      <c r="J25" s="296"/>
      <c r="K25" s="297"/>
    </row>
    <row r="26" spans="1:12" ht="25.5" x14ac:dyDescent="0.2">
      <c r="A26" s="531" t="s">
        <v>319</v>
      </c>
      <c r="B26" s="591">
        <v>111000</v>
      </c>
      <c r="C26" s="532">
        <v>140320</v>
      </c>
      <c r="D26" s="532">
        <v>127836.5</v>
      </c>
      <c r="E26" s="533">
        <f t="shared" si="2"/>
        <v>91.103549030786766</v>
      </c>
      <c r="F26" s="280">
        <v>101131</v>
      </c>
      <c r="G26" s="305" t="s">
        <v>106</v>
      </c>
      <c r="H26" s="294"/>
      <c r="I26" s="295"/>
      <c r="J26" s="296"/>
      <c r="K26" s="297"/>
    </row>
    <row r="27" spans="1:12" s="309" customFormat="1" ht="25.5" x14ac:dyDescent="0.25">
      <c r="A27" s="531" t="s">
        <v>742</v>
      </c>
      <c r="B27" s="591">
        <v>120000</v>
      </c>
      <c r="C27" s="532">
        <v>222950</v>
      </c>
      <c r="D27" s="532">
        <v>114042.5</v>
      </c>
      <c r="E27" s="533">
        <f t="shared" si="2"/>
        <v>51.151603498542272</v>
      </c>
      <c r="F27" s="306">
        <v>101133</v>
      </c>
      <c r="G27" s="305" t="s">
        <v>106</v>
      </c>
      <c r="H27" s="307"/>
      <c r="I27" s="274"/>
      <c r="J27" s="308"/>
      <c r="K27" s="308"/>
      <c r="L27" s="308"/>
    </row>
    <row r="28" spans="1:12" s="309" customFormat="1" ht="25.5" x14ac:dyDescent="0.25">
      <c r="A28" s="531" t="s">
        <v>320</v>
      </c>
      <c r="B28" s="591">
        <v>200000</v>
      </c>
      <c r="C28" s="532">
        <v>206200</v>
      </c>
      <c r="D28" s="532">
        <v>128865</v>
      </c>
      <c r="E28" s="533">
        <f t="shared" si="2"/>
        <v>62.495150339476233</v>
      </c>
      <c r="F28" s="306">
        <v>101141</v>
      </c>
      <c r="G28" s="305" t="s">
        <v>106</v>
      </c>
      <c r="H28" s="307"/>
      <c r="I28" s="274"/>
      <c r="J28" s="308"/>
      <c r="K28" s="308"/>
      <c r="L28" s="308"/>
    </row>
    <row r="29" spans="1:12" s="312" customFormat="1" ht="25.5" x14ac:dyDescent="0.2">
      <c r="A29" s="531" t="s">
        <v>144</v>
      </c>
      <c r="B29" s="591">
        <v>100000</v>
      </c>
      <c r="C29" s="534">
        <v>21350</v>
      </c>
      <c r="D29" s="534">
        <v>0</v>
      </c>
      <c r="E29" s="533">
        <f t="shared" si="2"/>
        <v>0</v>
      </c>
      <c r="F29" s="306">
        <v>101144</v>
      </c>
      <c r="G29" s="305" t="s">
        <v>106</v>
      </c>
      <c r="H29" s="311"/>
    </row>
    <row r="30" spans="1:12" s="312" customFormat="1" ht="25.5" x14ac:dyDescent="0.2">
      <c r="A30" s="531" t="s">
        <v>321</v>
      </c>
      <c r="B30" s="591">
        <v>0</v>
      </c>
      <c r="C30" s="534">
        <v>387780</v>
      </c>
      <c r="D30" s="534">
        <v>0</v>
      </c>
      <c r="E30" s="533">
        <f t="shared" si="2"/>
        <v>0</v>
      </c>
      <c r="F30" s="306">
        <v>101147</v>
      </c>
      <c r="G30" s="305" t="s">
        <v>106</v>
      </c>
      <c r="H30" s="311"/>
    </row>
    <row r="31" spans="1:12" s="312" customFormat="1" x14ac:dyDescent="0.2">
      <c r="A31" s="531" t="s">
        <v>145</v>
      </c>
      <c r="B31" s="591">
        <v>225000</v>
      </c>
      <c r="C31" s="534">
        <v>410500</v>
      </c>
      <c r="D31" s="534">
        <v>0</v>
      </c>
      <c r="E31" s="533">
        <f t="shared" si="2"/>
        <v>0</v>
      </c>
      <c r="F31" s="306">
        <v>101148</v>
      </c>
      <c r="G31" s="305" t="s">
        <v>106</v>
      </c>
      <c r="H31" s="311"/>
    </row>
    <row r="32" spans="1:12" s="312" customFormat="1" ht="25.5" x14ac:dyDescent="0.2">
      <c r="A32" s="531" t="s">
        <v>146</v>
      </c>
      <c r="B32" s="591">
        <v>415000</v>
      </c>
      <c r="C32" s="534">
        <v>415000</v>
      </c>
      <c r="D32" s="534">
        <v>407295</v>
      </c>
      <c r="E32" s="533">
        <f t="shared" si="2"/>
        <v>98.143373493975901</v>
      </c>
      <c r="F32" s="306">
        <v>101149</v>
      </c>
      <c r="G32" s="305" t="s">
        <v>106</v>
      </c>
      <c r="H32" s="311"/>
    </row>
    <row r="33" spans="1:8" s="312" customFormat="1" ht="25.5" x14ac:dyDescent="0.2">
      <c r="A33" s="531" t="s">
        <v>147</v>
      </c>
      <c r="B33" s="591">
        <v>100000</v>
      </c>
      <c r="C33" s="534">
        <v>674000</v>
      </c>
      <c r="D33" s="534">
        <v>402083</v>
      </c>
      <c r="E33" s="533">
        <f t="shared" si="2"/>
        <v>59.656231454005933</v>
      </c>
      <c r="F33" s="306">
        <v>101150</v>
      </c>
      <c r="G33" s="305" t="s">
        <v>106</v>
      </c>
      <c r="H33" s="311"/>
    </row>
    <row r="34" spans="1:8" s="312" customFormat="1" ht="25.5" x14ac:dyDescent="0.2">
      <c r="A34" s="531" t="s">
        <v>148</v>
      </c>
      <c r="B34" s="591">
        <v>100000</v>
      </c>
      <c r="C34" s="534">
        <v>99680</v>
      </c>
      <c r="D34" s="534">
        <v>5000</v>
      </c>
      <c r="E34" s="533">
        <f t="shared" si="2"/>
        <v>5.0160513643659712</v>
      </c>
      <c r="F34" s="304">
        <v>101151</v>
      </c>
      <c r="G34" s="305" t="s">
        <v>106</v>
      </c>
      <c r="H34" s="311"/>
    </row>
    <row r="35" spans="1:8" s="312" customFormat="1" ht="12.75" customHeight="1" x14ac:dyDescent="0.2">
      <c r="A35" s="531" t="s">
        <v>149</v>
      </c>
      <c r="B35" s="591">
        <v>100000</v>
      </c>
      <c r="C35" s="534">
        <v>462220</v>
      </c>
      <c r="D35" s="534">
        <v>365420</v>
      </c>
      <c r="E35" s="533">
        <f t="shared" si="2"/>
        <v>79.057591623036643</v>
      </c>
      <c r="F35" s="306">
        <v>101152</v>
      </c>
      <c r="G35" s="305" t="s">
        <v>106</v>
      </c>
      <c r="H35" s="311"/>
    </row>
    <row r="36" spans="1:8" s="312" customFormat="1" ht="38.25" x14ac:dyDescent="0.2">
      <c r="A36" s="531" t="s">
        <v>150</v>
      </c>
      <c r="B36" s="591">
        <v>100000</v>
      </c>
      <c r="C36" s="534">
        <v>100000</v>
      </c>
      <c r="D36" s="534">
        <v>54000</v>
      </c>
      <c r="E36" s="533">
        <f t="shared" si="2"/>
        <v>54</v>
      </c>
      <c r="F36" s="306">
        <v>101155</v>
      </c>
      <c r="G36" s="305" t="s">
        <v>106</v>
      </c>
      <c r="H36" s="313"/>
    </row>
    <row r="37" spans="1:8" s="312" customFormat="1" ht="25.5" x14ac:dyDescent="0.2">
      <c r="A37" s="531" t="s">
        <v>322</v>
      </c>
      <c r="B37" s="591">
        <v>0</v>
      </c>
      <c r="C37" s="534">
        <v>437600</v>
      </c>
      <c r="D37" s="534">
        <v>364210</v>
      </c>
      <c r="E37" s="533">
        <f t="shared" si="2"/>
        <v>83.228976234003653</v>
      </c>
      <c r="F37" s="306">
        <v>101164</v>
      </c>
      <c r="G37" s="305" t="s">
        <v>106</v>
      </c>
      <c r="H37" s="311"/>
    </row>
    <row r="38" spans="1:8" s="312" customFormat="1" ht="25.5" x14ac:dyDescent="0.2">
      <c r="A38" s="531" t="s">
        <v>323</v>
      </c>
      <c r="B38" s="591">
        <v>0</v>
      </c>
      <c r="C38" s="534">
        <v>70200</v>
      </c>
      <c r="D38" s="534">
        <v>70180</v>
      </c>
      <c r="E38" s="533">
        <f t="shared" si="2"/>
        <v>99.971509971509974</v>
      </c>
      <c r="F38" s="306">
        <v>101165</v>
      </c>
      <c r="G38" s="305" t="s">
        <v>106</v>
      </c>
      <c r="H38" s="311"/>
    </row>
    <row r="39" spans="1:8" s="312" customFormat="1" x14ac:dyDescent="0.2">
      <c r="A39" s="531" t="s">
        <v>151</v>
      </c>
      <c r="B39" s="591">
        <v>350000</v>
      </c>
      <c r="C39" s="534">
        <v>350000</v>
      </c>
      <c r="D39" s="534">
        <v>0</v>
      </c>
      <c r="E39" s="533">
        <f t="shared" si="2"/>
        <v>0</v>
      </c>
      <c r="F39" s="306">
        <v>101012</v>
      </c>
      <c r="G39" s="495" t="s">
        <v>60</v>
      </c>
      <c r="H39" s="311"/>
    </row>
    <row r="40" spans="1:8" s="312" customFormat="1" ht="25.5" x14ac:dyDescent="0.2">
      <c r="A40" s="531" t="s">
        <v>152</v>
      </c>
      <c r="B40" s="591">
        <v>960000</v>
      </c>
      <c r="C40" s="534">
        <v>993500</v>
      </c>
      <c r="D40" s="534">
        <v>896600</v>
      </c>
      <c r="E40" s="533">
        <f t="shared" si="2"/>
        <v>90.246602918973323</v>
      </c>
      <c r="F40" s="306">
        <v>101124</v>
      </c>
      <c r="G40" s="495" t="s">
        <v>60</v>
      </c>
      <c r="H40" s="311"/>
    </row>
    <row r="41" spans="1:8" s="312" customFormat="1" ht="25.5" x14ac:dyDescent="0.2">
      <c r="A41" s="531" t="s">
        <v>153</v>
      </c>
      <c r="B41" s="591">
        <v>120000</v>
      </c>
      <c r="C41" s="534">
        <v>430000</v>
      </c>
      <c r="D41" s="534">
        <v>424300</v>
      </c>
      <c r="E41" s="533">
        <f t="shared" si="2"/>
        <v>98.674418604651166</v>
      </c>
      <c r="F41" s="306">
        <v>101154</v>
      </c>
      <c r="G41" s="495" t="s">
        <v>60</v>
      </c>
      <c r="H41" s="311"/>
    </row>
    <row r="42" spans="1:8" s="312" customFormat="1" ht="25.5" x14ac:dyDescent="0.2">
      <c r="A42" s="531" t="s">
        <v>154</v>
      </c>
      <c r="B42" s="591">
        <v>120000</v>
      </c>
      <c r="C42" s="534">
        <v>120000</v>
      </c>
      <c r="D42" s="534">
        <v>3936</v>
      </c>
      <c r="E42" s="533">
        <f t="shared" si="2"/>
        <v>3.2800000000000002</v>
      </c>
      <c r="F42" s="306">
        <v>101156</v>
      </c>
      <c r="G42" s="495" t="s">
        <v>60</v>
      </c>
      <c r="H42" s="311"/>
    </row>
    <row r="43" spans="1:8" s="312" customFormat="1" ht="51" x14ac:dyDescent="0.2">
      <c r="A43" s="531" t="s">
        <v>155</v>
      </c>
      <c r="B43" s="591">
        <v>120000</v>
      </c>
      <c r="C43" s="534">
        <v>337000</v>
      </c>
      <c r="D43" s="534">
        <v>336759.6</v>
      </c>
      <c r="E43" s="533">
        <f t="shared" si="2"/>
        <v>99.92866468842729</v>
      </c>
      <c r="F43" s="306">
        <v>101157</v>
      </c>
      <c r="G43" s="495" t="s">
        <v>60</v>
      </c>
    </row>
    <row r="44" spans="1:8" s="312" customFormat="1" ht="25.5" x14ac:dyDescent="0.2">
      <c r="A44" s="531" t="s">
        <v>156</v>
      </c>
      <c r="B44" s="591">
        <v>120000</v>
      </c>
      <c r="C44" s="534">
        <v>0</v>
      </c>
      <c r="D44" s="534">
        <v>0</v>
      </c>
      <c r="E44" s="533">
        <v>0</v>
      </c>
      <c r="F44" s="306">
        <v>101159</v>
      </c>
      <c r="G44" s="495" t="s">
        <v>60</v>
      </c>
      <c r="H44" s="313"/>
    </row>
    <row r="45" spans="1:8" s="312" customFormat="1" x14ac:dyDescent="0.2">
      <c r="A45" s="531" t="s">
        <v>157</v>
      </c>
      <c r="B45" s="591">
        <v>681000</v>
      </c>
      <c r="C45" s="534">
        <v>681000</v>
      </c>
      <c r="D45" s="534">
        <v>328505</v>
      </c>
      <c r="E45" s="533">
        <f>D45/C45*100</f>
        <v>48.238619676945667</v>
      </c>
      <c r="F45" s="306">
        <v>101160</v>
      </c>
      <c r="G45" s="495" t="s">
        <v>60</v>
      </c>
      <c r="H45" s="313"/>
    </row>
    <row r="46" spans="1:8" s="312" customFormat="1" ht="25.5" x14ac:dyDescent="0.2">
      <c r="A46" s="531" t="s">
        <v>324</v>
      </c>
      <c r="B46" s="591">
        <v>0</v>
      </c>
      <c r="C46" s="534">
        <v>80000</v>
      </c>
      <c r="D46" s="534">
        <v>0</v>
      </c>
      <c r="E46" s="533">
        <f>D46/C46*100</f>
        <v>0</v>
      </c>
      <c r="F46" s="306">
        <v>101239</v>
      </c>
      <c r="G46" s="495" t="s">
        <v>60</v>
      </c>
      <c r="H46" s="313"/>
    </row>
    <row r="47" spans="1:8" s="312" customFormat="1" x14ac:dyDescent="0.2">
      <c r="A47" s="531" t="s">
        <v>325</v>
      </c>
      <c r="B47" s="591">
        <v>0</v>
      </c>
      <c r="C47" s="534">
        <v>80000</v>
      </c>
      <c r="D47" s="534">
        <v>78650</v>
      </c>
      <c r="E47" s="533">
        <f>D47/C47*100</f>
        <v>98.3125</v>
      </c>
      <c r="F47" s="306">
        <v>101240</v>
      </c>
      <c r="G47" s="495" t="s">
        <v>60</v>
      </c>
      <c r="H47" s="313"/>
    </row>
    <row r="48" spans="1:8" s="312" customFormat="1" ht="26.25" thickBot="1" x14ac:dyDescent="0.25">
      <c r="A48" s="535" t="s">
        <v>743</v>
      </c>
      <c r="B48" s="594">
        <v>0</v>
      </c>
      <c r="C48" s="536">
        <v>300000</v>
      </c>
      <c r="D48" s="536">
        <v>0</v>
      </c>
      <c r="E48" s="488">
        <f>D48/C48*100</f>
        <v>0</v>
      </c>
      <c r="F48" s="306">
        <v>101258</v>
      </c>
      <c r="G48" s="495" t="s">
        <v>60</v>
      </c>
      <c r="H48" s="313"/>
    </row>
    <row r="49" spans="1:12" s="312" customFormat="1" ht="13.5" thickTop="1" x14ac:dyDescent="0.2">
      <c r="A49" s="317"/>
      <c r="B49" s="318"/>
      <c r="C49" s="319"/>
      <c r="D49" s="319"/>
      <c r="E49" s="320"/>
      <c r="F49" s="306"/>
      <c r="G49" s="314"/>
      <c r="H49" s="313"/>
    </row>
    <row r="50" spans="1:12" ht="15.75" thickBot="1" x14ac:dyDescent="0.25">
      <c r="A50" s="321" t="s">
        <v>29</v>
      </c>
      <c r="B50" s="595"/>
      <c r="C50" s="322"/>
      <c r="D50" s="323"/>
      <c r="E50" s="324" t="s">
        <v>18</v>
      </c>
    </row>
    <row r="51" spans="1:12" ht="14.25" thickTop="1" thickBot="1" x14ac:dyDescent="0.25">
      <c r="A51" s="286" t="s">
        <v>5</v>
      </c>
      <c r="B51" s="287" t="s">
        <v>0</v>
      </c>
      <c r="C51" s="288" t="s">
        <v>1</v>
      </c>
      <c r="D51" s="289" t="s">
        <v>4</v>
      </c>
      <c r="E51" s="290" t="s">
        <v>6</v>
      </c>
    </row>
    <row r="52" spans="1:12" ht="15.75" thickTop="1" x14ac:dyDescent="0.2">
      <c r="A52" s="291" t="s">
        <v>7</v>
      </c>
      <c r="B52" s="292">
        <f>SUM(B53:B55)</f>
        <v>0</v>
      </c>
      <c r="C52" s="292">
        <f>SUM(C53:C55)</f>
        <v>5541000</v>
      </c>
      <c r="D52" s="292">
        <f>SUM(D53:D55)</f>
        <v>5541000</v>
      </c>
      <c r="E52" s="325">
        <f>D52/C52*100</f>
        <v>100</v>
      </c>
      <c r="F52" s="279"/>
    </row>
    <row r="53" spans="1:12" ht="25.5" x14ac:dyDescent="0.2">
      <c r="A53" s="436" t="s">
        <v>116</v>
      </c>
      <c r="B53" s="593">
        <v>0</v>
      </c>
      <c r="C53" s="354">
        <v>1850000</v>
      </c>
      <c r="D53" s="354">
        <v>1850000</v>
      </c>
      <c r="E53" s="303">
        <f t="shared" ref="E53:E55" si="3">D53/C53*100</f>
        <v>100</v>
      </c>
      <c r="F53" s="326">
        <v>1123</v>
      </c>
      <c r="G53" s="327" t="s">
        <v>114</v>
      </c>
      <c r="I53" s="299" t="s">
        <v>43</v>
      </c>
      <c r="J53" s="337">
        <f>SUM(B8:B38)</f>
        <v>78075000</v>
      </c>
      <c r="K53" s="337">
        <f>SUM(C8:C38)</f>
        <v>48743000</v>
      </c>
      <c r="L53" s="337">
        <f>SUM(D8:D38)</f>
        <v>42584224.919999994</v>
      </c>
    </row>
    <row r="54" spans="1:12" x14ac:dyDescent="0.2">
      <c r="A54" s="531" t="s">
        <v>115</v>
      </c>
      <c r="B54" s="591">
        <v>0</v>
      </c>
      <c r="C54" s="534">
        <f>1640000+200000</f>
        <v>1840000</v>
      </c>
      <c r="D54" s="534">
        <v>1840000</v>
      </c>
      <c r="E54" s="533">
        <f t="shared" si="3"/>
        <v>100</v>
      </c>
      <c r="F54" s="326">
        <v>1132</v>
      </c>
      <c r="G54" s="327" t="s">
        <v>114</v>
      </c>
      <c r="I54" s="495" t="s">
        <v>37</v>
      </c>
      <c r="J54" s="491">
        <f>SUM(B39:B48)</f>
        <v>2471000</v>
      </c>
      <c r="K54" s="491">
        <f>SUM(C39:C48)</f>
        <v>3371500</v>
      </c>
      <c r="L54" s="491">
        <f>SUM(D39:D48)</f>
        <v>2068750.6</v>
      </c>
    </row>
    <row r="55" spans="1:12" ht="13.5" thickBot="1" x14ac:dyDescent="0.25">
      <c r="A55" s="535" t="s">
        <v>117</v>
      </c>
      <c r="B55" s="594">
        <v>0</v>
      </c>
      <c r="C55" s="536">
        <v>1851000</v>
      </c>
      <c r="D55" s="536">
        <v>1851000</v>
      </c>
      <c r="E55" s="488">
        <f t="shared" si="3"/>
        <v>100</v>
      </c>
      <c r="F55" s="326">
        <v>1134</v>
      </c>
      <c r="G55" s="327" t="s">
        <v>114</v>
      </c>
      <c r="I55" s="338" t="s">
        <v>35</v>
      </c>
      <c r="J55" s="339">
        <f>SUM(B53:B55)</f>
        <v>0</v>
      </c>
      <c r="K55" s="339">
        <f>SUM(C53:C55)</f>
        <v>5541000</v>
      </c>
      <c r="L55" s="339">
        <f>SUM(D53:D55)</f>
        <v>5541000</v>
      </c>
    </row>
    <row r="56" spans="1:12" s="331" customFormat="1" ht="15.75" thickTop="1" x14ac:dyDescent="0.25">
      <c r="A56" s="335"/>
      <c r="B56" s="318"/>
      <c r="C56" s="336"/>
      <c r="D56" s="318"/>
      <c r="E56" s="320"/>
      <c r="F56" s="333"/>
      <c r="G56" s="332"/>
      <c r="J56" s="308">
        <f>J55+J54+J53</f>
        <v>80546000</v>
      </c>
      <c r="K56" s="308">
        <f t="shared" ref="K56:L56" si="4">K55+K54+K53</f>
        <v>57655500</v>
      </c>
      <c r="L56" s="308">
        <f t="shared" si="4"/>
        <v>50193975.519999996</v>
      </c>
    </row>
    <row r="57" spans="1:12" s="331" customFormat="1" x14ac:dyDescent="0.2">
      <c r="A57" s="335"/>
      <c r="B57" s="318"/>
      <c r="C57" s="336"/>
      <c r="D57" s="318"/>
      <c r="E57" s="320"/>
      <c r="F57" s="333"/>
      <c r="G57" s="332"/>
      <c r="H57" s="327"/>
    </row>
    <row r="58" spans="1:12" s="345" customFormat="1" ht="18.75" thickBot="1" x14ac:dyDescent="0.3">
      <c r="A58" s="340" t="s">
        <v>20</v>
      </c>
      <c r="B58" s="596">
        <f>SUM(B52,B7)</f>
        <v>80546000</v>
      </c>
      <c r="C58" s="596">
        <f t="shared" ref="C58:D58" si="5">SUM(C52,C7)</f>
        <v>57655500</v>
      </c>
      <c r="D58" s="596">
        <f t="shared" si="5"/>
        <v>50193975.519999996</v>
      </c>
      <c r="E58" s="342">
        <f>D58/C58*100</f>
        <v>87.058434182341657</v>
      </c>
      <c r="F58" s="343"/>
      <c r="G58" s="344"/>
      <c r="H58" s="344"/>
    </row>
    <row r="59" spans="1:12" ht="13.5" thickTop="1" x14ac:dyDescent="0.2">
      <c r="A59" s="346"/>
      <c r="B59" s="318"/>
      <c r="C59" s="347"/>
      <c r="D59" s="348"/>
      <c r="E59" s="320"/>
      <c r="F59" s="279"/>
    </row>
    <row r="60" spans="1:12" x14ac:dyDescent="0.2">
      <c r="A60" s="346"/>
      <c r="B60" s="318"/>
      <c r="C60" s="347"/>
      <c r="D60" s="348"/>
      <c r="E60" s="320"/>
      <c r="F60" s="279"/>
    </row>
    <row r="61" spans="1:12" ht="18" x14ac:dyDescent="0.25">
      <c r="A61" s="282" t="s">
        <v>28</v>
      </c>
      <c r="B61" s="274"/>
    </row>
    <row r="62" spans="1:12" ht="15" customHeight="1" thickBot="1" x14ac:dyDescent="0.3">
      <c r="A62" s="283" t="s">
        <v>720</v>
      </c>
      <c r="B62" s="274"/>
      <c r="E62" s="285" t="s">
        <v>18</v>
      </c>
    </row>
    <row r="63" spans="1:12" ht="14.25" thickTop="1" thickBot="1" x14ac:dyDescent="0.25">
      <c r="A63" s="286" t="s">
        <v>5</v>
      </c>
      <c r="B63" s="287" t="s">
        <v>0</v>
      </c>
      <c r="C63" s="288" t="s">
        <v>1</v>
      </c>
      <c r="D63" s="289" t="s">
        <v>4</v>
      </c>
      <c r="E63" s="290" t="s">
        <v>6</v>
      </c>
    </row>
    <row r="64" spans="1:12" ht="15.75" thickTop="1" x14ac:dyDescent="0.25">
      <c r="A64" s="291" t="s">
        <v>9</v>
      </c>
      <c r="B64" s="292">
        <f>SUM(B65:B76)</f>
        <v>30739000</v>
      </c>
      <c r="C64" s="292">
        <f>SUM(C65:C76)</f>
        <v>29393260</v>
      </c>
      <c r="D64" s="292">
        <f>SUM(D65:D76)</f>
        <v>26907811.77</v>
      </c>
      <c r="E64" s="293">
        <f>D64/C64*100</f>
        <v>91.54415593915067</v>
      </c>
      <c r="F64" s="349"/>
    </row>
    <row r="65" spans="1:12" s="351" customFormat="1" x14ac:dyDescent="0.2">
      <c r="A65" s="637" t="s">
        <v>326</v>
      </c>
      <c r="B65" s="593">
        <v>0</v>
      </c>
      <c r="C65" s="354">
        <v>431007</v>
      </c>
      <c r="D65" s="354">
        <v>431007</v>
      </c>
      <c r="E65" s="303">
        <f>D65/C65*100</f>
        <v>100</v>
      </c>
      <c r="F65" s="350" t="s">
        <v>327</v>
      </c>
      <c r="G65" s="305" t="s">
        <v>307</v>
      </c>
    </row>
    <row r="66" spans="1:12" s="351" customFormat="1" x14ac:dyDescent="0.2">
      <c r="A66" s="352" t="s">
        <v>328</v>
      </c>
      <c r="B66" s="597">
        <v>200000</v>
      </c>
      <c r="C66" s="310">
        <v>7260</v>
      </c>
      <c r="D66" s="310">
        <v>7260</v>
      </c>
      <c r="E66" s="298">
        <f>D66/C66*100</f>
        <v>100</v>
      </c>
      <c r="F66" s="350" t="s">
        <v>329</v>
      </c>
      <c r="G66" s="305" t="s">
        <v>330</v>
      </c>
    </row>
    <row r="67" spans="1:12" s="351" customFormat="1" x14ac:dyDescent="0.2">
      <c r="A67" s="682" t="s">
        <v>168</v>
      </c>
      <c r="B67" s="592">
        <v>119000</v>
      </c>
      <c r="C67" s="353">
        <v>3724000</v>
      </c>
      <c r="D67" s="353">
        <v>3715064.6</v>
      </c>
      <c r="E67" s="301">
        <f>D67/C67*100</f>
        <v>99.760059076262081</v>
      </c>
      <c r="F67" s="350" t="s">
        <v>108</v>
      </c>
      <c r="G67" s="305" t="s">
        <v>307</v>
      </c>
    </row>
    <row r="68" spans="1:12" s="351" customFormat="1" x14ac:dyDescent="0.2">
      <c r="A68" s="680"/>
      <c r="B68" s="593">
        <f>59000+1011000</f>
        <v>1070000</v>
      </c>
      <c r="C68" s="354">
        <v>0</v>
      </c>
      <c r="D68" s="354">
        <v>0</v>
      </c>
      <c r="E68" s="303">
        <v>0</v>
      </c>
      <c r="F68" s="642">
        <v>101112</v>
      </c>
      <c r="G68" s="305" t="s">
        <v>331</v>
      </c>
    </row>
    <row r="69" spans="1:12" s="351" customFormat="1" x14ac:dyDescent="0.2">
      <c r="A69" s="537" t="s">
        <v>169</v>
      </c>
      <c r="B69" s="591">
        <v>200000</v>
      </c>
      <c r="C69" s="534">
        <v>200000</v>
      </c>
      <c r="D69" s="534">
        <v>140000</v>
      </c>
      <c r="E69" s="533">
        <f>D69/C69*100</f>
        <v>70</v>
      </c>
      <c r="F69" s="642">
        <v>101137</v>
      </c>
      <c r="G69" s="305" t="s">
        <v>107</v>
      </c>
    </row>
    <row r="70" spans="1:12" s="351" customFormat="1" x14ac:dyDescent="0.2">
      <c r="A70" s="537" t="s">
        <v>170</v>
      </c>
      <c r="B70" s="591">
        <v>200000</v>
      </c>
      <c r="C70" s="534">
        <v>295000</v>
      </c>
      <c r="D70" s="534">
        <v>294965.52</v>
      </c>
      <c r="E70" s="533">
        <f>D70/C70*100</f>
        <v>99.988311864406782</v>
      </c>
      <c r="F70" s="642">
        <v>101139</v>
      </c>
      <c r="G70" s="305" t="s">
        <v>107</v>
      </c>
      <c r="H70" s="355"/>
    </row>
    <row r="71" spans="1:12" s="351" customFormat="1" x14ac:dyDescent="0.2">
      <c r="A71" s="682" t="s">
        <v>332</v>
      </c>
      <c r="B71" s="592">
        <v>4118000</v>
      </c>
      <c r="C71" s="353">
        <v>6466993</v>
      </c>
      <c r="D71" s="353">
        <v>6007025.6500000004</v>
      </c>
      <c r="E71" s="301">
        <f>D71/C71*100</f>
        <v>92.887461761594608</v>
      </c>
      <c r="F71" s="642">
        <v>101167</v>
      </c>
      <c r="G71" s="305" t="s">
        <v>307</v>
      </c>
      <c r="H71" s="355"/>
    </row>
    <row r="72" spans="1:12" s="351" customFormat="1" x14ac:dyDescent="0.2">
      <c r="A72" s="680"/>
      <c r="B72" s="593">
        <f>94000+1791000</f>
        <v>1885000</v>
      </c>
      <c r="C72" s="354">
        <v>0</v>
      </c>
      <c r="D72" s="354">
        <v>0</v>
      </c>
      <c r="E72" s="303">
        <v>0</v>
      </c>
      <c r="F72" s="642">
        <v>101167</v>
      </c>
      <c r="G72" s="305" t="s">
        <v>331</v>
      </c>
      <c r="H72" s="355"/>
    </row>
    <row r="73" spans="1:12" s="351" customFormat="1" x14ac:dyDescent="0.2">
      <c r="A73" s="677" t="s">
        <v>333</v>
      </c>
      <c r="B73" s="592">
        <v>2914000</v>
      </c>
      <c r="C73" s="353">
        <v>16795000</v>
      </c>
      <c r="D73" s="353">
        <v>16143089</v>
      </c>
      <c r="E73" s="301">
        <f>D73/C73*100</f>
        <v>96.118422149449245</v>
      </c>
      <c r="F73" s="642">
        <v>101178</v>
      </c>
      <c r="G73" s="305" t="s">
        <v>307</v>
      </c>
      <c r="H73" s="355"/>
    </row>
    <row r="74" spans="1:12" s="351" customFormat="1" x14ac:dyDescent="0.2">
      <c r="A74" s="680"/>
      <c r="B74" s="593">
        <f>710000+13496000+94000+2492000</f>
        <v>16792000</v>
      </c>
      <c r="C74" s="354">
        <v>0</v>
      </c>
      <c r="D74" s="354">
        <v>0</v>
      </c>
      <c r="E74" s="303">
        <v>0</v>
      </c>
      <c r="F74" s="642">
        <v>101178</v>
      </c>
      <c r="G74" s="305" t="s">
        <v>331</v>
      </c>
      <c r="H74" s="355"/>
    </row>
    <row r="75" spans="1:12" s="351" customFormat="1" x14ac:dyDescent="0.2">
      <c r="A75" s="677" t="s">
        <v>334</v>
      </c>
      <c r="B75" s="592">
        <v>1470000</v>
      </c>
      <c r="C75" s="353">
        <v>1474000</v>
      </c>
      <c r="D75" s="353">
        <v>169400</v>
      </c>
      <c r="E75" s="301">
        <f>D75/C75*100</f>
        <v>11.492537313432836</v>
      </c>
      <c r="F75" s="642">
        <v>101181</v>
      </c>
      <c r="G75" s="305" t="s">
        <v>307</v>
      </c>
      <c r="H75" s="355"/>
    </row>
    <row r="76" spans="1:12" s="351" customFormat="1" ht="13.5" thickBot="1" x14ac:dyDescent="0.25">
      <c r="A76" s="678"/>
      <c r="B76" s="598">
        <f>53000+1718000</f>
        <v>1771000</v>
      </c>
      <c r="C76" s="315">
        <v>0</v>
      </c>
      <c r="D76" s="315">
        <v>0</v>
      </c>
      <c r="E76" s="316">
        <v>0</v>
      </c>
      <c r="F76" s="642">
        <v>101181</v>
      </c>
      <c r="G76" s="305" t="s">
        <v>331</v>
      </c>
      <c r="H76" s="355"/>
    </row>
    <row r="77" spans="1:12" s="358" customFormat="1" ht="13.5" thickTop="1" x14ac:dyDescent="0.2">
      <c r="A77" s="362"/>
      <c r="B77" s="363"/>
      <c r="C77" s="363"/>
      <c r="D77" s="363"/>
      <c r="E77" s="320"/>
      <c r="F77" s="350"/>
      <c r="G77" s="327"/>
      <c r="H77" s="357"/>
      <c r="I77" s="364" t="s">
        <v>43</v>
      </c>
      <c r="J77" s="337">
        <f>SUM(B65:B76)</f>
        <v>30739000</v>
      </c>
      <c r="K77" s="337">
        <f t="shared" ref="K77:L77" si="6">SUM(C65:C76)</f>
        <v>29393260</v>
      </c>
      <c r="L77" s="337">
        <f t="shared" si="6"/>
        <v>26907811.77</v>
      </c>
    </row>
    <row r="78" spans="1:12" s="358" customFormat="1" ht="15" x14ac:dyDescent="0.25">
      <c r="A78" s="283"/>
      <c r="B78" s="274"/>
      <c r="C78" s="278"/>
      <c r="D78" s="284"/>
      <c r="E78" s="285"/>
      <c r="F78" s="356"/>
      <c r="G78" s="357"/>
      <c r="H78" s="357"/>
      <c r="I78" s="365"/>
      <c r="J78" s="308">
        <f>J77</f>
        <v>30739000</v>
      </c>
      <c r="K78" s="308">
        <f t="shared" ref="K78:L78" si="7">K77</f>
        <v>29393260</v>
      </c>
      <c r="L78" s="308">
        <f t="shared" si="7"/>
        <v>26907811.77</v>
      </c>
    </row>
    <row r="79" spans="1:12" s="345" customFormat="1" ht="18.75" thickBot="1" x14ac:dyDescent="0.3">
      <c r="A79" s="340" t="s">
        <v>21</v>
      </c>
      <c r="B79" s="596">
        <f>SUM(B64)</f>
        <v>30739000</v>
      </c>
      <c r="C79" s="341">
        <f>SUM(C64)</f>
        <v>29393260</v>
      </c>
      <c r="D79" s="341">
        <f>SUM(D64)</f>
        <v>26907811.77</v>
      </c>
      <c r="E79" s="342">
        <f>D79/C79*100</f>
        <v>91.54415593915067</v>
      </c>
      <c r="F79" s="270"/>
      <c r="G79" s="344"/>
      <c r="H79" s="344"/>
      <c r="I79" s="358"/>
    </row>
    <row r="80" spans="1:12" s="368" customFormat="1" ht="13.5" thickTop="1" x14ac:dyDescent="0.2">
      <c r="B80" s="599"/>
      <c r="E80" s="320"/>
      <c r="F80" s="369"/>
      <c r="G80" s="294"/>
      <c r="H80" s="294"/>
    </row>
    <row r="81" spans="1:12" s="368" customFormat="1" x14ac:dyDescent="0.2">
      <c r="B81" s="599"/>
      <c r="E81" s="320"/>
      <c r="F81" s="369"/>
      <c r="G81" s="294"/>
      <c r="H81" s="294"/>
    </row>
    <row r="82" spans="1:12" ht="15" customHeight="1" x14ac:dyDescent="0.25">
      <c r="A82" s="282" t="s">
        <v>72</v>
      </c>
      <c r="B82" s="274"/>
    </row>
    <row r="83" spans="1:12" ht="15" customHeight="1" thickBot="1" x14ac:dyDescent="0.3">
      <c r="A83" s="283" t="s">
        <v>720</v>
      </c>
      <c r="B83" s="274"/>
      <c r="E83" s="285" t="s">
        <v>18</v>
      </c>
    </row>
    <row r="84" spans="1:12" ht="14.25" thickTop="1" thickBot="1" x14ac:dyDescent="0.25">
      <c r="A84" s="286" t="s">
        <v>5</v>
      </c>
      <c r="B84" s="287" t="s">
        <v>0</v>
      </c>
      <c r="C84" s="288" t="s">
        <v>1</v>
      </c>
      <c r="D84" s="289" t="s">
        <v>4</v>
      </c>
      <c r="E84" s="290" t="s">
        <v>6</v>
      </c>
    </row>
    <row r="85" spans="1:12" ht="15.75" thickTop="1" x14ac:dyDescent="0.2">
      <c r="A85" s="359" t="s">
        <v>8</v>
      </c>
      <c r="B85" s="360">
        <f>SUM(B86:B92)</f>
        <v>1461000</v>
      </c>
      <c r="C85" s="360">
        <f>SUM(C86:C92)</f>
        <v>41736300</v>
      </c>
      <c r="D85" s="360">
        <f>SUM(D86:D92)</f>
        <v>26257375.879999999</v>
      </c>
      <c r="E85" s="361">
        <f t="shared" ref="E85:E92" si="8">D85/C85*100</f>
        <v>62.912562637320512</v>
      </c>
      <c r="F85" s="279"/>
    </row>
    <row r="86" spans="1:12" s="329" customFormat="1" x14ac:dyDescent="0.2">
      <c r="A86" s="683" t="s">
        <v>335</v>
      </c>
      <c r="B86" s="638">
        <v>200000</v>
      </c>
      <c r="C86" s="638">
        <f>911300+200000</f>
        <v>1111300</v>
      </c>
      <c r="D86" s="638">
        <f>60984+79962.14+63240</f>
        <v>204186.14</v>
      </c>
      <c r="E86" s="298">
        <f t="shared" si="8"/>
        <v>18.373629083055881</v>
      </c>
      <c r="F86" s="371">
        <v>100768</v>
      </c>
      <c r="G86" s="305" t="s">
        <v>336</v>
      </c>
      <c r="H86" s="328"/>
    </row>
    <row r="87" spans="1:12" s="329" customFormat="1" x14ac:dyDescent="0.2">
      <c r="A87" s="684"/>
      <c r="B87" s="372"/>
      <c r="C87" s="372">
        <v>1236000</v>
      </c>
      <c r="D87" s="372">
        <f>39981.06+679678.16</f>
        <v>719659.22</v>
      </c>
      <c r="E87" s="303">
        <f t="shared" si="8"/>
        <v>58.224855987055015</v>
      </c>
      <c r="F87" s="371">
        <v>100768</v>
      </c>
      <c r="G87" s="500" t="s">
        <v>337</v>
      </c>
      <c r="H87" s="506">
        <f>C87-D87</f>
        <v>516340.78</v>
      </c>
    </row>
    <row r="88" spans="1:12" s="329" customFormat="1" x14ac:dyDescent="0.2">
      <c r="A88" s="685" t="s">
        <v>338</v>
      </c>
      <c r="B88" s="370">
        <v>1061000</v>
      </c>
      <c r="C88" s="370">
        <f>933795+3902200</f>
        <v>4835995</v>
      </c>
      <c r="D88" s="370">
        <f>476957.8+1994887.9+417444.8</f>
        <v>2889290.4999999995</v>
      </c>
      <c r="E88" s="301">
        <f t="shared" si="8"/>
        <v>59.745522896529039</v>
      </c>
      <c r="F88" s="371">
        <v>101011</v>
      </c>
      <c r="G88" s="305" t="s">
        <v>336</v>
      </c>
      <c r="H88" s="328"/>
    </row>
    <row r="89" spans="1:12" s="329" customFormat="1" x14ac:dyDescent="0.2">
      <c r="A89" s="684"/>
      <c r="B89" s="372"/>
      <c r="C89" s="372">
        <v>26120100</v>
      </c>
      <c r="D89" s="372">
        <f>997443.93+16956547.09</f>
        <v>17953991.02</v>
      </c>
      <c r="E89" s="303">
        <f t="shared" si="8"/>
        <v>68.736302770663201</v>
      </c>
      <c r="F89" s="371">
        <v>101011</v>
      </c>
      <c r="G89" s="500" t="s">
        <v>337</v>
      </c>
      <c r="H89" s="506">
        <f>C89-D89</f>
        <v>8166108.9800000004</v>
      </c>
    </row>
    <row r="90" spans="1:12" s="329" customFormat="1" x14ac:dyDescent="0.2">
      <c r="A90" s="685" t="s">
        <v>339</v>
      </c>
      <c r="B90" s="370">
        <v>200000</v>
      </c>
      <c r="C90" s="370">
        <f>3914700+100000</f>
        <v>4014700</v>
      </c>
      <c r="D90" s="370">
        <f>96800+426444.4</f>
        <v>523244.4</v>
      </c>
      <c r="E90" s="301">
        <f t="shared" si="8"/>
        <v>13.033212942436545</v>
      </c>
      <c r="F90" s="371">
        <v>101080</v>
      </c>
      <c r="G90" s="305" t="s">
        <v>336</v>
      </c>
      <c r="H90" s="328"/>
    </row>
    <row r="91" spans="1:12" s="329" customFormat="1" x14ac:dyDescent="0.2">
      <c r="A91" s="684"/>
      <c r="B91" s="372"/>
      <c r="C91" s="372">
        <v>4191000</v>
      </c>
      <c r="D91" s="372">
        <f>213222.2+3624777.4</f>
        <v>3837999.6</v>
      </c>
      <c r="E91" s="303">
        <f t="shared" si="8"/>
        <v>91.57717967072297</v>
      </c>
      <c r="F91" s="371">
        <v>101080</v>
      </c>
      <c r="G91" s="500" t="s">
        <v>337</v>
      </c>
      <c r="H91" s="506">
        <f>C91-D91</f>
        <v>353000.39999999991</v>
      </c>
      <c r="I91" s="507">
        <v>353100.4</v>
      </c>
      <c r="J91" s="508">
        <f>H91-I91</f>
        <v>-100.00000000011642</v>
      </c>
    </row>
    <row r="92" spans="1:12" s="329" customFormat="1" ht="13.5" thickBot="1" x14ac:dyDescent="0.25">
      <c r="A92" s="486" t="s">
        <v>340</v>
      </c>
      <c r="B92" s="487">
        <v>0</v>
      </c>
      <c r="C92" s="487">
        <v>227205</v>
      </c>
      <c r="D92" s="487">
        <v>129005</v>
      </c>
      <c r="E92" s="488">
        <f t="shared" si="8"/>
        <v>56.779120177812992</v>
      </c>
      <c r="F92" s="371">
        <v>101242</v>
      </c>
      <c r="G92" s="305" t="s">
        <v>341</v>
      </c>
      <c r="H92" s="373"/>
    </row>
    <row r="93" spans="1:12" ht="13.5" thickTop="1" x14ac:dyDescent="0.2">
      <c r="A93" s="375"/>
      <c r="B93" s="462"/>
      <c r="C93" s="376"/>
      <c r="D93" s="376"/>
      <c r="E93" s="320"/>
      <c r="F93" s="279"/>
      <c r="G93" s="334"/>
    </row>
    <row r="94" spans="1:12" s="368" customFormat="1" x14ac:dyDescent="0.2">
      <c r="B94" s="600"/>
      <c r="C94" s="378"/>
      <c r="D94" s="378"/>
      <c r="E94" s="320"/>
      <c r="F94" s="369"/>
      <c r="G94" s="294"/>
      <c r="I94" s="364" t="s">
        <v>43</v>
      </c>
      <c r="J94" s="337">
        <f>SUM(B86:B92)</f>
        <v>1461000</v>
      </c>
      <c r="K94" s="337">
        <f t="shared" ref="K94:L94" si="9">SUM(C86:C92)</f>
        <v>41736300</v>
      </c>
      <c r="L94" s="337">
        <f t="shared" si="9"/>
        <v>26257375.879999999</v>
      </c>
    </row>
    <row r="95" spans="1:12" s="345" customFormat="1" ht="18.75" thickBot="1" x14ac:dyDescent="0.3">
      <c r="A95" s="340" t="s">
        <v>22</v>
      </c>
      <c r="B95" s="596">
        <f>SUM(B85)</f>
        <v>1461000</v>
      </c>
      <c r="C95" s="341">
        <f>SUM(C85)</f>
        <v>41736300</v>
      </c>
      <c r="D95" s="341">
        <f>SUM(D85)</f>
        <v>26257375.879999999</v>
      </c>
      <c r="E95" s="342">
        <f>D95/C95*100</f>
        <v>62.912562637320512</v>
      </c>
      <c r="F95" s="379"/>
      <c r="G95" s="344"/>
      <c r="J95" s="308">
        <f>SUM(J94:J94)</f>
        <v>1461000</v>
      </c>
      <c r="K95" s="308">
        <f>SUM(K94:K94)</f>
        <v>41736300</v>
      </c>
      <c r="L95" s="308">
        <f>SUM(L94:L94)</f>
        <v>26257375.879999999</v>
      </c>
    </row>
    <row r="96" spans="1:12" s="345" customFormat="1" ht="18.75" thickTop="1" x14ac:dyDescent="0.25">
      <c r="A96" s="380"/>
      <c r="B96" s="601"/>
      <c r="C96" s="381"/>
      <c r="D96" s="381"/>
      <c r="E96" s="382"/>
      <c r="F96" s="379"/>
      <c r="G96" s="344"/>
    </row>
    <row r="97" spans="1:10" s="368" customFormat="1" x14ac:dyDescent="0.2">
      <c r="B97" s="599"/>
      <c r="E97" s="320"/>
      <c r="F97" s="369"/>
      <c r="G97" s="294"/>
    </row>
    <row r="98" spans="1:10" ht="15" customHeight="1" x14ac:dyDescent="0.25">
      <c r="A98" s="282" t="s">
        <v>73</v>
      </c>
      <c r="B98" s="274"/>
    </row>
    <row r="99" spans="1:10" ht="15" customHeight="1" thickBot="1" x14ac:dyDescent="0.3">
      <c r="A99" s="283" t="s">
        <v>229</v>
      </c>
      <c r="B99" s="274"/>
      <c r="E99" s="285" t="s">
        <v>18</v>
      </c>
    </row>
    <row r="100" spans="1:10" ht="14.25" thickTop="1" thickBot="1" x14ac:dyDescent="0.25">
      <c r="A100" s="286" t="s">
        <v>5</v>
      </c>
      <c r="B100" s="287" t="s">
        <v>0</v>
      </c>
      <c r="C100" s="288" t="s">
        <v>1</v>
      </c>
      <c r="D100" s="289" t="s">
        <v>4</v>
      </c>
      <c r="E100" s="290" t="s">
        <v>6</v>
      </c>
    </row>
    <row r="101" spans="1:10" ht="15.75" thickTop="1" x14ac:dyDescent="0.25">
      <c r="A101" s="291" t="s">
        <v>11</v>
      </c>
      <c r="B101" s="383">
        <f>SUM(B102:B125)</f>
        <v>58692000</v>
      </c>
      <c r="C101" s="383">
        <f>SUM(C102:C125)</f>
        <v>148720454.94999999</v>
      </c>
      <c r="D101" s="383">
        <f>SUM(D102:D125)</f>
        <v>118834698.64</v>
      </c>
      <c r="E101" s="293">
        <f>D101/C101*100</f>
        <v>79.904743890107369</v>
      </c>
      <c r="F101" s="279"/>
      <c r="H101" s="355"/>
    </row>
    <row r="102" spans="1:10" s="391" customFormat="1" x14ac:dyDescent="0.2">
      <c r="A102" s="639" t="s">
        <v>342</v>
      </c>
      <c r="B102" s="605">
        <v>945000</v>
      </c>
      <c r="C102" s="395">
        <v>434000</v>
      </c>
      <c r="D102" s="396">
        <v>164543.87</v>
      </c>
      <c r="E102" s="397">
        <f>D102/C102*100</f>
        <v>37.913334101382489</v>
      </c>
      <c r="F102" s="388">
        <v>100029</v>
      </c>
      <c r="G102" s="389" t="s">
        <v>112</v>
      </c>
      <c r="H102" s="390"/>
    </row>
    <row r="103" spans="1:10" s="391" customFormat="1" x14ac:dyDescent="0.2">
      <c r="A103" s="538" t="s">
        <v>343</v>
      </c>
      <c r="B103" s="603">
        <v>478000</v>
      </c>
      <c r="C103" s="539">
        <v>1639000</v>
      </c>
      <c r="D103" s="540">
        <v>937807.84</v>
      </c>
      <c r="E103" s="541">
        <f>D103/C103*100</f>
        <v>57.218294081757172</v>
      </c>
      <c r="F103" s="388">
        <v>100040</v>
      </c>
      <c r="G103" s="389" t="s">
        <v>112</v>
      </c>
      <c r="H103" s="390"/>
    </row>
    <row r="104" spans="1:10" s="391" customFormat="1" x14ac:dyDescent="0.2">
      <c r="A104" s="538" t="s">
        <v>297</v>
      </c>
      <c r="B104" s="603">
        <v>500000</v>
      </c>
      <c r="C104" s="539">
        <v>0</v>
      </c>
      <c r="D104" s="540">
        <v>0</v>
      </c>
      <c r="E104" s="541">
        <v>0</v>
      </c>
      <c r="F104" s="388">
        <v>100109</v>
      </c>
      <c r="G104" s="389" t="s">
        <v>112</v>
      </c>
      <c r="H104" s="390"/>
    </row>
    <row r="105" spans="1:10" s="391" customFormat="1" x14ac:dyDescent="0.2">
      <c r="A105" s="538" t="s">
        <v>344</v>
      </c>
      <c r="B105" s="603">
        <v>605000</v>
      </c>
      <c r="C105" s="539">
        <v>0</v>
      </c>
      <c r="D105" s="540">
        <v>0</v>
      </c>
      <c r="E105" s="541">
        <v>0</v>
      </c>
      <c r="F105" s="388">
        <v>100646</v>
      </c>
      <c r="G105" s="389" t="s">
        <v>112</v>
      </c>
      <c r="H105" s="390"/>
    </row>
    <row r="106" spans="1:10" s="391" customFormat="1" x14ac:dyDescent="0.2">
      <c r="A106" s="538" t="s">
        <v>54</v>
      </c>
      <c r="B106" s="603">
        <v>933000</v>
      </c>
      <c r="C106" s="539">
        <v>0</v>
      </c>
      <c r="D106" s="540">
        <v>0</v>
      </c>
      <c r="E106" s="541">
        <v>0</v>
      </c>
      <c r="F106" s="388">
        <v>100674</v>
      </c>
      <c r="G106" s="389" t="s">
        <v>112</v>
      </c>
      <c r="H106" s="390"/>
    </row>
    <row r="107" spans="1:10" s="391" customFormat="1" x14ac:dyDescent="0.2">
      <c r="A107" s="538" t="s">
        <v>345</v>
      </c>
      <c r="B107" s="603">
        <v>100000</v>
      </c>
      <c r="C107" s="539">
        <v>84300</v>
      </c>
      <c r="D107" s="540">
        <v>0</v>
      </c>
      <c r="E107" s="541">
        <f t="shared" ref="E107:E112" si="10">D107/C107*100</f>
        <v>0</v>
      </c>
      <c r="F107" s="388">
        <v>100804</v>
      </c>
      <c r="G107" s="389" t="s">
        <v>112</v>
      </c>
      <c r="H107" s="390"/>
    </row>
    <row r="108" spans="1:10" s="391" customFormat="1" x14ac:dyDescent="0.2">
      <c r="A108" s="679" t="s">
        <v>346</v>
      </c>
      <c r="B108" s="604">
        <v>200000</v>
      </c>
      <c r="C108" s="392">
        <f>428000+861000</f>
        <v>1289000</v>
      </c>
      <c r="D108" s="393">
        <f>343860.5+444155.55</f>
        <v>788016.05</v>
      </c>
      <c r="E108" s="394">
        <f t="shared" si="10"/>
        <v>61.133906128782002</v>
      </c>
      <c r="F108" s="388">
        <v>100913</v>
      </c>
      <c r="G108" s="389" t="s">
        <v>347</v>
      </c>
      <c r="H108" s="390"/>
    </row>
    <row r="109" spans="1:10" s="391" customFormat="1" x14ac:dyDescent="0.2">
      <c r="A109" s="680"/>
      <c r="B109" s="605">
        <v>0</v>
      </c>
      <c r="C109" s="395">
        <f>431000+7315000</f>
        <v>7746000</v>
      </c>
      <c r="D109" s="396">
        <f>222077.77+3775322.17</f>
        <v>3997399.94</v>
      </c>
      <c r="E109" s="397">
        <f t="shared" si="10"/>
        <v>51.605989413891038</v>
      </c>
      <c r="F109" s="388">
        <v>100913</v>
      </c>
      <c r="G109" s="502" t="s">
        <v>348</v>
      </c>
      <c r="H109" s="505">
        <f>C109-D109</f>
        <v>3748600.06</v>
      </c>
    </row>
    <row r="110" spans="1:10" s="391" customFormat="1" x14ac:dyDescent="0.2">
      <c r="A110" s="384" t="s">
        <v>349</v>
      </c>
      <c r="B110" s="602">
        <v>3018000</v>
      </c>
      <c r="C110" s="385">
        <v>218000</v>
      </c>
      <c r="D110" s="386">
        <v>193600</v>
      </c>
      <c r="E110" s="387">
        <f t="shared" si="10"/>
        <v>88.807339449541288</v>
      </c>
      <c r="F110" s="388">
        <v>100914</v>
      </c>
      <c r="G110" s="389" t="s">
        <v>112</v>
      </c>
      <c r="H110" s="390"/>
    </row>
    <row r="111" spans="1:10" s="391" customFormat="1" x14ac:dyDescent="0.2">
      <c r="A111" s="679" t="s">
        <v>350</v>
      </c>
      <c r="B111" s="604">
        <v>200000</v>
      </c>
      <c r="C111" s="392">
        <f>200000+19056587.46</f>
        <v>19256587.460000001</v>
      </c>
      <c r="D111" s="393">
        <f>67760+8329305.19+7830957.06</f>
        <v>16228022.25</v>
      </c>
      <c r="E111" s="394">
        <f t="shared" si="10"/>
        <v>84.272575728742325</v>
      </c>
      <c r="F111" s="388">
        <v>100915</v>
      </c>
      <c r="G111" s="389" t="s">
        <v>347</v>
      </c>
      <c r="H111" s="390"/>
    </row>
    <row r="112" spans="1:10" s="391" customFormat="1" x14ac:dyDescent="0.2">
      <c r="A112" s="680"/>
      <c r="B112" s="605">
        <v>0</v>
      </c>
      <c r="C112" s="395">
        <v>84555493</v>
      </c>
      <c r="D112" s="396">
        <f>4164652.58+70803933.89</f>
        <v>74968586.469999999</v>
      </c>
      <c r="E112" s="397">
        <f t="shared" si="10"/>
        <v>88.661994401712022</v>
      </c>
      <c r="F112" s="388">
        <v>100915</v>
      </c>
      <c r="G112" s="502" t="s">
        <v>348</v>
      </c>
      <c r="H112" s="505">
        <f>C112-D112</f>
        <v>9586906.5300000012</v>
      </c>
      <c r="I112" s="507">
        <f>9156326.58+431910.95</f>
        <v>9588237.5299999993</v>
      </c>
      <c r="J112" s="507">
        <f>H112-I112</f>
        <v>-1330.9999999981374</v>
      </c>
    </row>
    <row r="113" spans="1:8" s="391" customFormat="1" x14ac:dyDescent="0.2">
      <c r="A113" s="538" t="s">
        <v>351</v>
      </c>
      <c r="B113" s="603">
        <v>1027000</v>
      </c>
      <c r="C113" s="539">
        <v>0</v>
      </c>
      <c r="D113" s="540">
        <v>0</v>
      </c>
      <c r="E113" s="541">
        <v>0</v>
      </c>
      <c r="F113" s="388">
        <v>100917</v>
      </c>
      <c r="G113" s="389" t="s">
        <v>112</v>
      </c>
      <c r="H113" s="390"/>
    </row>
    <row r="114" spans="1:8" s="391" customFormat="1" x14ac:dyDescent="0.2">
      <c r="A114" s="538" t="s">
        <v>352</v>
      </c>
      <c r="B114" s="603">
        <v>664000</v>
      </c>
      <c r="C114" s="539">
        <v>664000</v>
      </c>
      <c r="D114" s="540">
        <v>0</v>
      </c>
      <c r="E114" s="541">
        <f>D114/C114*100</f>
        <v>0</v>
      </c>
      <c r="F114" s="388">
        <v>100918</v>
      </c>
      <c r="G114" s="389" t="s">
        <v>112</v>
      </c>
      <c r="H114" s="390"/>
    </row>
    <row r="115" spans="1:8" s="391" customFormat="1" x14ac:dyDescent="0.2">
      <c r="A115" s="538" t="s">
        <v>353</v>
      </c>
      <c r="B115" s="603">
        <v>10200000</v>
      </c>
      <c r="C115" s="539">
        <v>8900000</v>
      </c>
      <c r="D115" s="540">
        <v>8538230</v>
      </c>
      <c r="E115" s="541">
        <f>D115/C115*100</f>
        <v>95.935168539325844</v>
      </c>
      <c r="F115" s="388">
        <v>100919</v>
      </c>
      <c r="G115" s="389" t="s">
        <v>112</v>
      </c>
      <c r="H115" s="390"/>
    </row>
    <row r="116" spans="1:8" s="391" customFormat="1" x14ac:dyDescent="0.2">
      <c r="A116" s="538" t="s">
        <v>354</v>
      </c>
      <c r="B116" s="603">
        <v>200000</v>
      </c>
      <c r="C116" s="539">
        <v>200000</v>
      </c>
      <c r="D116" s="540">
        <v>90750</v>
      </c>
      <c r="E116" s="541">
        <f>D116/C116*100</f>
        <v>45.375</v>
      </c>
      <c r="F116" s="388">
        <v>100920</v>
      </c>
      <c r="G116" s="389" t="s">
        <v>112</v>
      </c>
      <c r="H116" s="390"/>
    </row>
    <row r="117" spans="1:8" s="400" customFormat="1" x14ac:dyDescent="0.2">
      <c r="A117" s="538" t="s">
        <v>176</v>
      </c>
      <c r="B117" s="591">
        <v>700000</v>
      </c>
      <c r="C117" s="542">
        <v>215700</v>
      </c>
      <c r="D117" s="542">
        <v>180700</v>
      </c>
      <c r="E117" s="541">
        <f>D117/C117*100</f>
        <v>83.773759851645806</v>
      </c>
      <c r="F117" s="399">
        <v>100930</v>
      </c>
      <c r="G117" s="389" t="s">
        <v>112</v>
      </c>
    </row>
    <row r="118" spans="1:8" s="400" customFormat="1" x14ac:dyDescent="0.2">
      <c r="A118" s="679" t="s">
        <v>177</v>
      </c>
      <c r="B118" s="592">
        <f>1728000+820000</f>
        <v>2548000</v>
      </c>
      <c r="C118" s="401">
        <f>0+1472000</f>
        <v>1472000</v>
      </c>
      <c r="D118" s="401">
        <v>1469408</v>
      </c>
      <c r="E118" s="394">
        <f>D118/C118*100</f>
        <v>99.823913043478257</v>
      </c>
      <c r="F118" s="399">
        <v>100931</v>
      </c>
      <c r="G118" s="389" t="s">
        <v>61</v>
      </c>
    </row>
    <row r="119" spans="1:8" s="400" customFormat="1" x14ac:dyDescent="0.2">
      <c r="A119" s="681"/>
      <c r="B119" s="597">
        <f>778000+14776000</f>
        <v>15554000</v>
      </c>
      <c r="C119" s="398">
        <v>0</v>
      </c>
      <c r="D119" s="398">
        <v>0</v>
      </c>
      <c r="E119" s="387">
        <v>0</v>
      </c>
      <c r="F119" s="399">
        <v>100931</v>
      </c>
      <c r="G119" s="389" t="s">
        <v>355</v>
      </c>
    </row>
    <row r="120" spans="1:8" s="400" customFormat="1" x14ac:dyDescent="0.2">
      <c r="A120" s="680"/>
      <c r="B120" s="593">
        <v>0</v>
      </c>
      <c r="C120" s="402">
        <v>9557167.7300000004</v>
      </c>
      <c r="D120" s="402">
        <v>9557167.7300000004</v>
      </c>
      <c r="E120" s="397">
        <f>D120/C120*100</f>
        <v>100</v>
      </c>
      <c r="F120" s="399">
        <v>100931</v>
      </c>
      <c r="G120" s="389" t="s">
        <v>356</v>
      </c>
    </row>
    <row r="121" spans="1:8" s="400" customFormat="1" x14ac:dyDescent="0.2">
      <c r="A121" s="538" t="s">
        <v>357</v>
      </c>
      <c r="B121" s="591">
        <v>1284000</v>
      </c>
      <c r="C121" s="542">
        <v>0</v>
      </c>
      <c r="D121" s="542">
        <v>0</v>
      </c>
      <c r="E121" s="541">
        <v>0</v>
      </c>
      <c r="F121" s="399">
        <v>100956</v>
      </c>
      <c r="G121" s="389" t="s">
        <v>112</v>
      </c>
    </row>
    <row r="122" spans="1:8" s="400" customFormat="1" x14ac:dyDescent="0.2">
      <c r="A122" s="538" t="s">
        <v>358</v>
      </c>
      <c r="B122" s="591">
        <v>5416000</v>
      </c>
      <c r="C122" s="542">
        <v>1542000</v>
      </c>
      <c r="D122" s="542">
        <v>1233105.19</v>
      </c>
      <c r="E122" s="541">
        <f>D122/C122*100</f>
        <v>79.967911154345003</v>
      </c>
      <c r="F122" s="399">
        <v>101004</v>
      </c>
      <c r="G122" s="389" t="s">
        <v>359</v>
      </c>
    </row>
    <row r="123" spans="1:8" s="400" customFormat="1" x14ac:dyDescent="0.2">
      <c r="A123" s="538" t="s">
        <v>360</v>
      </c>
      <c r="B123" s="591">
        <v>3000000</v>
      </c>
      <c r="C123" s="542">
        <v>179206.76</v>
      </c>
      <c r="D123" s="542">
        <v>6352.5</v>
      </c>
      <c r="E123" s="541">
        <f>D123/C123*100</f>
        <v>3.5447881541968616</v>
      </c>
      <c r="F123" s="399">
        <v>101007</v>
      </c>
      <c r="G123" s="389" t="s">
        <v>112</v>
      </c>
    </row>
    <row r="124" spans="1:8" s="400" customFormat="1" x14ac:dyDescent="0.2">
      <c r="A124" s="538" t="s">
        <v>744</v>
      </c>
      <c r="B124" s="591">
        <v>1120000</v>
      </c>
      <c r="C124" s="542">
        <v>768000</v>
      </c>
      <c r="D124" s="542">
        <v>481008.8</v>
      </c>
      <c r="E124" s="541">
        <f>D124/C124*100</f>
        <v>62.631354166666661</v>
      </c>
      <c r="F124" s="399">
        <v>100032</v>
      </c>
      <c r="G124" s="389" t="s">
        <v>112</v>
      </c>
      <c r="H124" s="403"/>
    </row>
    <row r="125" spans="1:8" s="400" customFormat="1" ht="13.5" thickBot="1" x14ac:dyDescent="0.25">
      <c r="A125" s="543" t="s">
        <v>361</v>
      </c>
      <c r="B125" s="594">
        <v>10000000</v>
      </c>
      <c r="C125" s="544">
        <v>10000000</v>
      </c>
      <c r="D125" s="544">
        <v>0</v>
      </c>
      <c r="E125" s="545">
        <f>D125/C125*100</f>
        <v>0</v>
      </c>
      <c r="F125" s="399">
        <v>101172</v>
      </c>
      <c r="G125" s="494" t="s">
        <v>362</v>
      </c>
      <c r="H125" s="403"/>
    </row>
    <row r="126" spans="1:8" s="405" customFormat="1" ht="13.5" thickTop="1" x14ac:dyDescent="0.2">
      <c r="B126" s="599"/>
      <c r="E126" s="406"/>
      <c r="F126" s="407"/>
      <c r="G126" s="408"/>
      <c r="H126" s="408"/>
    </row>
    <row r="127" spans="1:8" s="405" customFormat="1" ht="15.75" thickBot="1" x14ac:dyDescent="0.25">
      <c r="A127" s="409" t="s">
        <v>62</v>
      </c>
      <c r="B127" s="274"/>
      <c r="C127" s="410"/>
      <c r="D127" s="410"/>
      <c r="E127" s="411" t="s">
        <v>18</v>
      </c>
      <c r="F127" s="407"/>
      <c r="G127" s="408"/>
      <c r="H127" s="408"/>
    </row>
    <row r="128" spans="1:8" s="405" customFormat="1" ht="14.25" thickTop="1" thickBot="1" x14ac:dyDescent="0.25">
      <c r="A128" s="412" t="s">
        <v>5</v>
      </c>
      <c r="B128" s="287" t="s">
        <v>0</v>
      </c>
      <c r="C128" s="413" t="s">
        <v>1</v>
      </c>
      <c r="D128" s="414" t="s">
        <v>4</v>
      </c>
      <c r="E128" s="415" t="s">
        <v>6</v>
      </c>
      <c r="F128" s="407"/>
      <c r="G128" s="408"/>
      <c r="H128" s="408"/>
    </row>
    <row r="129" spans="1:12" s="405" customFormat="1" ht="15.75" thickTop="1" x14ac:dyDescent="0.2">
      <c r="A129" s="416" t="s">
        <v>11</v>
      </c>
      <c r="B129" s="606">
        <f>SUM(B130:B134)</f>
        <v>0</v>
      </c>
      <c r="C129" s="417">
        <f>SUM(C130:C134)</f>
        <v>81457709.260000005</v>
      </c>
      <c r="D129" s="417">
        <f>SUM(D130:D134)</f>
        <v>81457709.260000005</v>
      </c>
      <c r="E129" s="418">
        <f t="shared" ref="E129:E134" si="11">D129/C129*100</f>
        <v>100</v>
      </c>
      <c r="F129" s="407"/>
      <c r="G129" s="419" t="s">
        <v>232</v>
      </c>
      <c r="H129" s="408"/>
    </row>
    <row r="130" spans="1:12" s="405" customFormat="1" x14ac:dyDescent="0.2">
      <c r="A130" s="421" t="s">
        <v>387</v>
      </c>
      <c r="B130" s="593">
        <v>0</v>
      </c>
      <c r="C130" s="422">
        <v>11684506.630000001</v>
      </c>
      <c r="D130" s="422">
        <v>11684506.630000001</v>
      </c>
      <c r="E130" s="397">
        <f t="shared" si="11"/>
        <v>100</v>
      </c>
      <c r="F130" s="407">
        <v>1600</v>
      </c>
      <c r="G130" s="419" t="s">
        <v>388</v>
      </c>
      <c r="H130" s="408"/>
    </row>
    <row r="131" spans="1:12" s="405" customFormat="1" x14ac:dyDescent="0.2">
      <c r="A131" s="671" t="s">
        <v>363</v>
      </c>
      <c r="B131" s="592">
        <v>0</v>
      </c>
      <c r="C131" s="420">
        <f>4287884.61+2160736.13+1818164.86+511108.16</f>
        <v>8777893.7599999998</v>
      </c>
      <c r="D131" s="420">
        <f>4287884.61+2160736.13+1818164.86+511108.16</f>
        <v>8777893.7599999998</v>
      </c>
      <c r="E131" s="394">
        <f t="shared" si="11"/>
        <v>100</v>
      </c>
      <c r="F131" s="407">
        <v>1600</v>
      </c>
      <c r="G131" s="419" t="s">
        <v>364</v>
      </c>
      <c r="H131" s="408"/>
    </row>
    <row r="132" spans="1:12" s="405" customFormat="1" x14ac:dyDescent="0.2">
      <c r="A132" s="672"/>
      <c r="B132" s="593">
        <v>0</v>
      </c>
      <c r="C132" s="422">
        <f>3729948.93+8315262.88+15658817.55+27436365.11</f>
        <v>55140394.469999999</v>
      </c>
      <c r="D132" s="422">
        <f>C132</f>
        <v>55140394.469999999</v>
      </c>
      <c r="E132" s="397">
        <f t="shared" si="11"/>
        <v>100</v>
      </c>
      <c r="F132" s="407">
        <v>1600</v>
      </c>
      <c r="G132" s="501" t="s">
        <v>365</v>
      </c>
      <c r="H132" s="408"/>
    </row>
    <row r="133" spans="1:12" s="405" customFormat="1" x14ac:dyDescent="0.2">
      <c r="A133" s="671" t="s">
        <v>366</v>
      </c>
      <c r="B133" s="597">
        <v>0</v>
      </c>
      <c r="C133" s="423">
        <f>484+649460.94+360673.99+0</f>
        <v>1010618.9299999999</v>
      </c>
      <c r="D133" s="423">
        <f>484+649460.94+360673.99+0</f>
        <v>1010618.9299999999</v>
      </c>
      <c r="E133" s="387">
        <f t="shared" si="11"/>
        <v>100</v>
      </c>
      <c r="F133" s="407">
        <v>1600</v>
      </c>
      <c r="G133" s="419" t="s">
        <v>364</v>
      </c>
      <c r="H133" s="408"/>
      <c r="I133" s="389" t="s">
        <v>39</v>
      </c>
      <c r="J133" s="492">
        <f>SUM(B102:B124)</f>
        <v>48692000</v>
      </c>
      <c r="K133" s="492">
        <f>SUM(C102:C124)</f>
        <v>138720454.94999999</v>
      </c>
      <c r="L133" s="492">
        <f>SUM(D102:D124)</f>
        <v>118834698.64</v>
      </c>
    </row>
    <row r="134" spans="1:12" s="405" customFormat="1" ht="13.5" thickBot="1" x14ac:dyDescent="0.25">
      <c r="A134" s="673"/>
      <c r="B134" s="598">
        <v>0</v>
      </c>
      <c r="C134" s="485">
        <f>217541.61+806397.55+4356+3816000.31</f>
        <v>4844295.47</v>
      </c>
      <c r="D134" s="485">
        <f>217541.61+806397.55+4356+3816000.31</f>
        <v>4844295.47</v>
      </c>
      <c r="E134" s="404">
        <f t="shared" si="11"/>
        <v>100</v>
      </c>
      <c r="F134" s="407">
        <v>1600</v>
      </c>
      <c r="G134" s="501" t="s">
        <v>365</v>
      </c>
      <c r="H134" s="408"/>
      <c r="I134" s="494" t="s">
        <v>37</v>
      </c>
      <c r="J134" s="493">
        <f>B125</f>
        <v>10000000</v>
      </c>
      <c r="K134" s="493">
        <f>C125</f>
        <v>10000000</v>
      </c>
      <c r="L134" s="493">
        <f>D125</f>
        <v>0</v>
      </c>
    </row>
    <row r="135" spans="1:12" s="405" customFormat="1" ht="13.5" thickTop="1" x14ac:dyDescent="0.2">
      <c r="A135" s="424"/>
      <c r="B135" s="599"/>
      <c r="E135" s="406"/>
      <c r="F135" s="425"/>
      <c r="G135" s="419"/>
      <c r="H135" s="408"/>
      <c r="I135" s="327" t="s">
        <v>35</v>
      </c>
      <c r="J135" s="367">
        <f>SUM(B130:B134)</f>
        <v>0</v>
      </c>
      <c r="K135" s="367">
        <f>SUM(C130:C134)</f>
        <v>81457709.260000005</v>
      </c>
      <c r="L135" s="367">
        <f>SUM(D130:D134)</f>
        <v>81457709.260000005</v>
      </c>
    </row>
    <row r="136" spans="1:12" s="368" customFormat="1" x14ac:dyDescent="0.2">
      <c r="B136" s="599"/>
      <c r="E136" s="320"/>
      <c r="F136" s="369"/>
      <c r="G136" s="294"/>
      <c r="I136" s="327"/>
      <c r="J136" s="426">
        <f>SUM(J135:J135)</f>
        <v>0</v>
      </c>
      <c r="K136" s="426">
        <f>SUM(K135:K135)</f>
        <v>81457709.260000005</v>
      </c>
      <c r="L136" s="426">
        <f>SUM(L135:L135)</f>
        <v>81457709.260000005</v>
      </c>
    </row>
    <row r="137" spans="1:12" s="345" customFormat="1" ht="18.75" thickBot="1" x14ac:dyDescent="0.3">
      <c r="A137" s="340" t="s">
        <v>24</v>
      </c>
      <c r="B137" s="596">
        <f>SUM(,B101,B129)</f>
        <v>58692000</v>
      </c>
      <c r="C137" s="341">
        <f>SUM(,C101,C129)</f>
        <v>230178164.20999998</v>
      </c>
      <c r="D137" s="341">
        <f>SUM(,D101,D129)</f>
        <v>200292407.90000001</v>
      </c>
      <c r="E137" s="342">
        <f>D137/C137*100</f>
        <v>87.01625047164157</v>
      </c>
      <c r="F137" s="427"/>
      <c r="G137" s="344"/>
      <c r="I137" s="272"/>
    </row>
    <row r="138" spans="1:12" s="368" customFormat="1" ht="13.5" thickTop="1" x14ac:dyDescent="0.2">
      <c r="B138" s="599"/>
      <c r="E138" s="320"/>
      <c r="F138" s="369"/>
      <c r="G138" s="294"/>
      <c r="H138" s="294"/>
    </row>
    <row r="139" spans="1:12" s="368" customFormat="1" x14ac:dyDescent="0.2">
      <c r="B139" s="599"/>
      <c r="E139" s="320"/>
      <c r="F139" s="369"/>
      <c r="G139" s="294"/>
    </row>
    <row r="140" spans="1:12" s="368" customFormat="1" x14ac:dyDescent="0.2">
      <c r="B140" s="599"/>
      <c r="E140" s="320"/>
      <c r="F140" s="369"/>
      <c r="G140" s="294"/>
    </row>
    <row r="141" spans="1:12" ht="15" customHeight="1" x14ac:dyDescent="0.25">
      <c r="A141" s="282" t="s">
        <v>30</v>
      </c>
      <c r="B141" s="274"/>
    </row>
    <row r="142" spans="1:12" ht="15" customHeight="1" thickBot="1" x14ac:dyDescent="0.3">
      <c r="A142" s="283" t="s">
        <v>720</v>
      </c>
      <c r="B142" s="274"/>
      <c r="E142" s="285" t="s">
        <v>18</v>
      </c>
    </row>
    <row r="143" spans="1:12" ht="14.25" thickTop="1" thickBot="1" x14ac:dyDescent="0.25">
      <c r="A143" s="286" t="s">
        <v>5</v>
      </c>
      <c r="B143" s="287" t="s">
        <v>0</v>
      </c>
      <c r="C143" s="288" t="s">
        <v>1</v>
      </c>
      <c r="D143" s="289" t="s">
        <v>4</v>
      </c>
      <c r="E143" s="290" t="s">
        <v>6</v>
      </c>
    </row>
    <row r="144" spans="1:12" ht="15.75" thickTop="1" x14ac:dyDescent="0.2">
      <c r="A144" s="291" t="s">
        <v>10</v>
      </c>
      <c r="B144" s="383">
        <f>SUM(B145:B161)</f>
        <v>15100000</v>
      </c>
      <c r="C144" s="383">
        <f>SUM(C145:C161)</f>
        <v>11209582.77</v>
      </c>
      <c r="D144" s="383">
        <f>SUM(D145:D161)</f>
        <v>8213516.5599999996</v>
      </c>
      <c r="E144" s="330">
        <f t="shared" ref="E144:E155" si="12">D144/C144*100</f>
        <v>73.272277198235088</v>
      </c>
      <c r="F144" s="279"/>
    </row>
    <row r="145" spans="1:12" ht="15" customHeight="1" x14ac:dyDescent="0.2">
      <c r="A145" s="674" t="s">
        <v>719</v>
      </c>
      <c r="B145" s="428">
        <v>0</v>
      </c>
      <c r="C145" s="428">
        <v>1905825.69</v>
      </c>
      <c r="D145" s="428">
        <v>1905825.69</v>
      </c>
      <c r="E145" s="298">
        <f t="shared" si="12"/>
        <v>100</v>
      </c>
      <c r="F145" s="429">
        <v>100782</v>
      </c>
      <c r="G145" s="305" t="s">
        <v>109</v>
      </c>
    </row>
    <row r="146" spans="1:12" ht="15" customHeight="1" x14ac:dyDescent="0.2">
      <c r="A146" s="675"/>
      <c r="B146" s="437">
        <v>0</v>
      </c>
      <c r="C146" s="437">
        <v>683422.16</v>
      </c>
      <c r="D146" s="437">
        <v>683422.16</v>
      </c>
      <c r="E146" s="303">
        <f t="shared" si="12"/>
        <v>100</v>
      </c>
      <c r="F146" s="429"/>
      <c r="G146" s="305" t="s">
        <v>440</v>
      </c>
    </row>
    <row r="147" spans="1:12" s="431" customFormat="1" x14ac:dyDescent="0.2">
      <c r="A147" s="531" t="s">
        <v>181</v>
      </c>
      <c r="B147" s="546">
        <v>100000</v>
      </c>
      <c r="C147" s="546">
        <v>3004062.04</v>
      </c>
      <c r="D147" s="546">
        <v>3000085</v>
      </c>
      <c r="E147" s="533">
        <f t="shared" si="12"/>
        <v>99.867611256124391</v>
      </c>
      <c r="F147" s="429">
        <v>100901</v>
      </c>
      <c r="G147" s="305" t="s">
        <v>109</v>
      </c>
      <c r="H147" s="430"/>
    </row>
    <row r="148" spans="1:12" s="431" customFormat="1" x14ac:dyDescent="0.2">
      <c r="A148" s="531" t="s">
        <v>367</v>
      </c>
      <c r="B148" s="546">
        <v>100000</v>
      </c>
      <c r="C148" s="546">
        <v>1598188.88</v>
      </c>
      <c r="D148" s="546">
        <v>1568934.95</v>
      </c>
      <c r="E148" s="533">
        <f t="shared" si="12"/>
        <v>98.169557405505174</v>
      </c>
      <c r="F148" s="429">
        <v>100902</v>
      </c>
      <c r="G148" s="305" t="s">
        <v>109</v>
      </c>
      <c r="H148" s="430"/>
    </row>
    <row r="149" spans="1:12" s="432" customFormat="1" ht="25.5" x14ac:dyDescent="0.2">
      <c r="A149" s="531" t="s">
        <v>184</v>
      </c>
      <c r="B149" s="591">
        <v>0</v>
      </c>
      <c r="C149" s="534">
        <v>271584</v>
      </c>
      <c r="D149" s="534">
        <v>239042.76</v>
      </c>
      <c r="E149" s="533">
        <f t="shared" si="12"/>
        <v>88.01798338635561</v>
      </c>
      <c r="F149" s="326">
        <v>100963</v>
      </c>
      <c r="G149" s="305" t="s">
        <v>109</v>
      </c>
    </row>
    <row r="150" spans="1:12" s="432" customFormat="1" x14ac:dyDescent="0.2">
      <c r="A150" s="547" t="s">
        <v>368</v>
      </c>
      <c r="B150" s="591">
        <v>100000</v>
      </c>
      <c r="C150" s="548">
        <v>30000</v>
      </c>
      <c r="D150" s="548">
        <v>11495</v>
      </c>
      <c r="E150" s="533">
        <f t="shared" si="12"/>
        <v>38.316666666666663</v>
      </c>
      <c r="F150" s="326">
        <v>101088</v>
      </c>
      <c r="G150" s="305" t="s">
        <v>109</v>
      </c>
    </row>
    <row r="151" spans="1:12" s="432" customFormat="1" x14ac:dyDescent="0.2">
      <c r="A151" s="531" t="s">
        <v>369</v>
      </c>
      <c r="B151" s="591">
        <v>4000000</v>
      </c>
      <c r="C151" s="548">
        <v>570000</v>
      </c>
      <c r="D151" s="548">
        <v>58080</v>
      </c>
      <c r="E151" s="533">
        <f t="shared" si="12"/>
        <v>10.189473684210526</v>
      </c>
      <c r="F151" s="326">
        <v>101175</v>
      </c>
      <c r="G151" s="305" t="s">
        <v>109</v>
      </c>
    </row>
    <row r="152" spans="1:12" s="432" customFormat="1" x14ac:dyDescent="0.2">
      <c r="A152" s="531" t="s">
        <v>370</v>
      </c>
      <c r="B152" s="591">
        <v>0</v>
      </c>
      <c r="C152" s="548">
        <v>780000</v>
      </c>
      <c r="D152" s="548">
        <v>58080</v>
      </c>
      <c r="E152" s="533">
        <f t="shared" si="12"/>
        <v>7.4461538461538463</v>
      </c>
      <c r="F152" s="326">
        <v>101184</v>
      </c>
      <c r="G152" s="305" t="s">
        <v>109</v>
      </c>
    </row>
    <row r="153" spans="1:12" s="432" customFormat="1" x14ac:dyDescent="0.2">
      <c r="A153" s="531" t="s">
        <v>371</v>
      </c>
      <c r="B153" s="591">
        <v>0</v>
      </c>
      <c r="C153" s="548">
        <v>690000</v>
      </c>
      <c r="D153" s="548">
        <v>58080</v>
      </c>
      <c r="E153" s="533">
        <f t="shared" si="12"/>
        <v>8.4173913043478272</v>
      </c>
      <c r="F153" s="326">
        <v>101185</v>
      </c>
      <c r="G153" s="305" t="s">
        <v>109</v>
      </c>
    </row>
    <row r="154" spans="1:12" s="432" customFormat="1" x14ac:dyDescent="0.2">
      <c r="A154" s="531" t="s">
        <v>372</v>
      </c>
      <c r="B154" s="591">
        <v>0</v>
      </c>
      <c r="C154" s="548">
        <v>550000</v>
      </c>
      <c r="D154" s="548">
        <v>16638</v>
      </c>
      <c r="E154" s="533">
        <f t="shared" si="12"/>
        <v>3.0250909090909093</v>
      </c>
      <c r="F154" s="326">
        <v>101186</v>
      </c>
      <c r="G154" s="305" t="s">
        <v>109</v>
      </c>
      <c r="I154" s="299" t="s">
        <v>43</v>
      </c>
      <c r="J154" s="337">
        <f>SUM(B145:B154)</f>
        <v>4300000</v>
      </c>
      <c r="K154" s="337">
        <f>SUM(C145:C154)</f>
        <v>10083082.77</v>
      </c>
      <c r="L154" s="337">
        <f>SUM(D145:D154)</f>
        <v>7599683.5599999996</v>
      </c>
    </row>
    <row r="155" spans="1:12" s="432" customFormat="1" x14ac:dyDescent="0.2">
      <c r="A155" s="676" t="s">
        <v>185</v>
      </c>
      <c r="B155" s="592">
        <v>160000</v>
      </c>
      <c r="C155" s="433">
        <v>160000</v>
      </c>
      <c r="D155" s="433">
        <v>60500</v>
      </c>
      <c r="E155" s="301">
        <f t="shared" si="12"/>
        <v>37.8125</v>
      </c>
      <c r="F155" s="326">
        <v>101166</v>
      </c>
      <c r="G155" s="434" t="s">
        <v>373</v>
      </c>
      <c r="H155" s="435"/>
      <c r="I155" s="495" t="s">
        <v>37</v>
      </c>
      <c r="J155" s="491">
        <f>SUM(B155:B161)</f>
        <v>10800000</v>
      </c>
      <c r="K155" s="491">
        <f t="shared" ref="K155:L155" si="13">SUM(C155:C161)</f>
        <v>1126500</v>
      </c>
      <c r="L155" s="491">
        <f t="shared" si="13"/>
        <v>613833</v>
      </c>
    </row>
    <row r="156" spans="1:12" s="432" customFormat="1" ht="15" x14ac:dyDescent="0.25">
      <c r="A156" s="675"/>
      <c r="B156" s="593">
        <v>1440000</v>
      </c>
      <c r="C156" s="437">
        <v>0</v>
      </c>
      <c r="D156" s="437">
        <v>0</v>
      </c>
      <c r="E156" s="303">
        <v>0</v>
      </c>
      <c r="F156" s="326"/>
      <c r="G156" s="434" t="s">
        <v>374</v>
      </c>
      <c r="H156" s="435"/>
      <c r="I156" s="338"/>
      <c r="J156" s="308">
        <f>J155+J154</f>
        <v>15100000</v>
      </c>
      <c r="K156" s="308">
        <f t="shared" ref="K156:L156" si="14">K155+K154</f>
        <v>11209582.77</v>
      </c>
      <c r="L156" s="308">
        <f t="shared" si="14"/>
        <v>8213516.5599999996</v>
      </c>
    </row>
    <row r="157" spans="1:12" s="432" customFormat="1" x14ac:dyDescent="0.2">
      <c r="A157" s="676" t="s">
        <v>375</v>
      </c>
      <c r="B157" s="592">
        <v>1200000</v>
      </c>
      <c r="C157" s="433">
        <v>86500</v>
      </c>
      <c r="D157" s="433">
        <v>0</v>
      </c>
      <c r="E157" s="301">
        <f>D157/C157*100</f>
        <v>0</v>
      </c>
      <c r="F157" s="326">
        <v>101171</v>
      </c>
      <c r="G157" s="434" t="s">
        <v>113</v>
      </c>
      <c r="I157" s="331"/>
    </row>
    <row r="158" spans="1:12" s="432" customFormat="1" x14ac:dyDescent="0.2">
      <c r="A158" s="675"/>
      <c r="B158" s="593">
        <v>8000000</v>
      </c>
      <c r="C158" s="437">
        <v>0</v>
      </c>
      <c r="D158" s="437">
        <v>0</v>
      </c>
      <c r="E158" s="303">
        <v>0</v>
      </c>
      <c r="F158" s="326"/>
      <c r="G158" s="434" t="s">
        <v>374</v>
      </c>
    </row>
    <row r="159" spans="1:12" s="432" customFormat="1" x14ac:dyDescent="0.2">
      <c r="A159" s="531" t="s">
        <v>376</v>
      </c>
      <c r="B159" s="591">
        <v>0</v>
      </c>
      <c r="C159" s="546">
        <v>160000</v>
      </c>
      <c r="D159" s="546">
        <v>0</v>
      </c>
      <c r="E159" s="533">
        <f>D159/C159*100</f>
        <v>0</v>
      </c>
      <c r="F159" s="326">
        <v>101236</v>
      </c>
      <c r="G159" s="434" t="s">
        <v>373</v>
      </c>
    </row>
    <row r="160" spans="1:12" s="432" customFormat="1" x14ac:dyDescent="0.2">
      <c r="A160" s="531" t="s">
        <v>377</v>
      </c>
      <c r="B160" s="591">
        <v>0</v>
      </c>
      <c r="C160" s="546">
        <v>120000</v>
      </c>
      <c r="D160" s="546">
        <v>116765</v>
      </c>
      <c r="E160" s="533">
        <f>D160/C160*100</f>
        <v>97.304166666666674</v>
      </c>
      <c r="F160" s="326">
        <v>101237</v>
      </c>
      <c r="G160" s="434" t="s">
        <v>373</v>
      </c>
    </row>
    <row r="161" spans="1:12" s="432" customFormat="1" ht="13.5" thickBot="1" x14ac:dyDescent="0.25">
      <c r="A161" s="549" t="s">
        <v>378</v>
      </c>
      <c r="B161" s="594">
        <v>0</v>
      </c>
      <c r="C161" s="550">
        <v>600000</v>
      </c>
      <c r="D161" s="550">
        <v>436568</v>
      </c>
      <c r="E161" s="488">
        <f>D161/C161*100</f>
        <v>72.76133333333334</v>
      </c>
      <c r="F161" s="326">
        <v>101238</v>
      </c>
      <c r="G161" s="434" t="s">
        <v>373</v>
      </c>
      <c r="H161" s="438"/>
      <c r="I161" s="438"/>
    </row>
    <row r="162" spans="1:12" s="368" customFormat="1" ht="13.5" thickTop="1" x14ac:dyDescent="0.2">
      <c r="B162" s="599"/>
      <c r="E162" s="320"/>
      <c r="F162" s="369"/>
      <c r="G162" s="294"/>
      <c r="H162" s="294"/>
    </row>
    <row r="163" spans="1:12" s="368" customFormat="1" x14ac:dyDescent="0.2">
      <c r="B163" s="600"/>
      <c r="C163" s="378"/>
      <c r="D163" s="378"/>
      <c r="E163" s="320"/>
      <c r="F163" s="369"/>
      <c r="G163" s="294"/>
      <c r="H163" s="294"/>
    </row>
    <row r="164" spans="1:12" s="368" customFormat="1" ht="18.75" thickBot="1" x14ac:dyDescent="0.25">
      <c r="A164" s="340" t="s">
        <v>23</v>
      </c>
      <c r="B164" s="596">
        <f>SUM(B144)</f>
        <v>15100000</v>
      </c>
      <c r="C164" s="341">
        <f>SUM(C144)</f>
        <v>11209582.77</v>
      </c>
      <c r="D164" s="341">
        <f>SUM(D144)</f>
        <v>8213516.5599999996</v>
      </c>
      <c r="E164" s="342">
        <f>D164/C164*100</f>
        <v>73.272277198235088</v>
      </c>
      <c r="F164" s="369"/>
      <c r="G164" s="294"/>
      <c r="H164" s="294"/>
    </row>
    <row r="165" spans="1:12" s="368" customFormat="1" ht="13.5" thickTop="1" x14ac:dyDescent="0.2">
      <c r="B165" s="599"/>
      <c r="E165" s="320"/>
      <c r="F165" s="369"/>
      <c r="G165" s="294"/>
      <c r="H165" s="294"/>
    </row>
    <row r="166" spans="1:12" s="368" customFormat="1" x14ac:dyDescent="0.2">
      <c r="B166" s="599"/>
      <c r="E166" s="320"/>
      <c r="F166" s="369"/>
      <c r="G166" s="294"/>
      <c r="H166" s="294"/>
    </row>
    <row r="167" spans="1:12" s="368" customFormat="1" ht="18" x14ac:dyDescent="0.25">
      <c r="A167" s="270" t="s">
        <v>82</v>
      </c>
      <c r="B167" s="607"/>
      <c r="C167" s="440"/>
      <c r="D167" s="441"/>
      <c r="E167" s="440"/>
      <c r="F167" s="369"/>
      <c r="G167" s="294"/>
      <c r="H167" s="294"/>
    </row>
    <row r="168" spans="1:12" s="368" customFormat="1" ht="15.75" thickBot="1" x14ac:dyDescent="0.3">
      <c r="A168" s="283" t="s">
        <v>720</v>
      </c>
      <c r="B168" s="607"/>
      <c r="C168" s="440"/>
      <c r="D168" s="441"/>
      <c r="E168" s="440" t="s">
        <v>18</v>
      </c>
      <c r="F168" s="369"/>
      <c r="G168" s="294"/>
      <c r="H168" s="294"/>
    </row>
    <row r="169" spans="1:12" s="368" customFormat="1" ht="14.25" thickTop="1" thickBot="1" x14ac:dyDescent="0.25">
      <c r="A169" s="442" t="s">
        <v>5</v>
      </c>
      <c r="B169" s="287" t="s">
        <v>0</v>
      </c>
      <c r="C169" s="288" t="s">
        <v>1</v>
      </c>
      <c r="D169" s="289" t="s">
        <v>4</v>
      </c>
      <c r="E169" s="290" t="s">
        <v>6</v>
      </c>
      <c r="F169" s="369"/>
      <c r="G169" s="294"/>
      <c r="H169" s="294"/>
    </row>
    <row r="170" spans="1:12" s="368" customFormat="1" ht="15.75" thickTop="1" x14ac:dyDescent="0.25">
      <c r="A170" s="359" t="s">
        <v>83</v>
      </c>
      <c r="B170" s="443">
        <f>SUM(B171:B176)</f>
        <v>5580000</v>
      </c>
      <c r="C170" s="443">
        <f>SUM(C171:C176)</f>
        <v>2870500</v>
      </c>
      <c r="D170" s="443">
        <f>SUM(D171:D176)</f>
        <v>2173286.9</v>
      </c>
      <c r="E170" s="444">
        <f>D170/C170*100</f>
        <v>75.711092144225745</v>
      </c>
      <c r="F170" s="369"/>
      <c r="G170" s="294"/>
      <c r="H170" s="294"/>
      <c r="I170" s="365" t="s">
        <v>37</v>
      </c>
      <c r="J170" s="366">
        <f>SUM(B171:B176)</f>
        <v>5580000</v>
      </c>
      <c r="K170" s="366">
        <f t="shared" ref="K170:L170" si="15">SUM(C171:C176)</f>
        <v>2870500</v>
      </c>
      <c r="L170" s="366">
        <f t="shared" si="15"/>
        <v>2173286.9</v>
      </c>
    </row>
    <row r="171" spans="1:12" s="368" customFormat="1" ht="14.25" x14ac:dyDescent="0.2">
      <c r="A171" s="667" t="s">
        <v>379</v>
      </c>
      <c r="B171" s="377">
        <v>180000</v>
      </c>
      <c r="C171" s="377">
        <v>0</v>
      </c>
      <c r="D171" s="377">
        <v>0</v>
      </c>
      <c r="E171" s="445">
        <v>0</v>
      </c>
      <c r="F171" s="446">
        <v>101169</v>
      </c>
      <c r="G171" s="434" t="s">
        <v>113</v>
      </c>
      <c r="J171" s="439">
        <f>SUM(J170)</f>
        <v>5580000</v>
      </c>
      <c r="K171" s="439">
        <f t="shared" ref="K171:L171" si="16">SUM(K170)</f>
        <v>2870500</v>
      </c>
      <c r="L171" s="439">
        <f t="shared" si="16"/>
        <v>2173286.9</v>
      </c>
    </row>
    <row r="172" spans="1:12" s="368" customFormat="1" ht="14.25" x14ac:dyDescent="0.2">
      <c r="A172" s="668"/>
      <c r="B172" s="447">
        <v>1000000</v>
      </c>
      <c r="C172" s="447">
        <v>0</v>
      </c>
      <c r="D172" s="447">
        <v>0</v>
      </c>
      <c r="E172" s="303">
        <v>0</v>
      </c>
      <c r="F172" s="446">
        <v>101169</v>
      </c>
      <c r="G172" s="434" t="s">
        <v>374</v>
      </c>
      <c r="J172" s="439"/>
      <c r="K172" s="439"/>
      <c r="L172" s="439"/>
    </row>
    <row r="173" spans="1:12" s="368" customFormat="1" ht="14.25" x14ac:dyDescent="0.2">
      <c r="A173" s="669" t="s">
        <v>380</v>
      </c>
      <c r="B173" s="448">
        <v>400000</v>
      </c>
      <c r="C173" s="448">
        <v>0</v>
      </c>
      <c r="D173" s="448">
        <v>0</v>
      </c>
      <c r="E173" s="298">
        <v>0</v>
      </c>
      <c r="F173" s="446">
        <v>101170</v>
      </c>
      <c r="G173" s="434" t="s">
        <v>113</v>
      </c>
      <c r="J173" s="439"/>
      <c r="K173" s="439"/>
      <c r="L173" s="439"/>
    </row>
    <row r="174" spans="1:12" s="368" customFormat="1" ht="14.25" x14ac:dyDescent="0.2">
      <c r="A174" s="668"/>
      <c r="B174" s="447">
        <v>4000000</v>
      </c>
      <c r="C174" s="447">
        <v>0</v>
      </c>
      <c r="D174" s="447">
        <v>0</v>
      </c>
      <c r="E174" s="303">
        <v>0</v>
      </c>
      <c r="F174" s="446">
        <v>101170</v>
      </c>
      <c r="G174" s="434" t="s">
        <v>374</v>
      </c>
      <c r="J174" s="439"/>
      <c r="K174" s="439"/>
      <c r="L174" s="439"/>
    </row>
    <row r="175" spans="1:12" s="368" customFormat="1" ht="14.25" x14ac:dyDescent="0.2">
      <c r="A175" s="669" t="s">
        <v>188</v>
      </c>
      <c r="B175" s="377">
        <v>0</v>
      </c>
      <c r="C175" s="377">
        <v>770500</v>
      </c>
      <c r="D175" s="377">
        <f>335648.5+60501.4</f>
        <v>396149.9</v>
      </c>
      <c r="E175" s="445">
        <f>D175/C175*100</f>
        <v>51.414652822842314</v>
      </c>
      <c r="F175" s="446">
        <v>101180</v>
      </c>
      <c r="G175" s="434" t="s">
        <v>113</v>
      </c>
      <c r="J175" s="439"/>
      <c r="K175" s="439"/>
      <c r="L175" s="439"/>
    </row>
    <row r="176" spans="1:12" s="368" customFormat="1" ht="15" customHeight="1" thickBot="1" x14ac:dyDescent="0.25">
      <c r="A176" s="670"/>
      <c r="B176" s="374">
        <v>0</v>
      </c>
      <c r="C176" s="374">
        <v>2100000</v>
      </c>
      <c r="D176" s="374">
        <f>63367+1713770</f>
        <v>1777137</v>
      </c>
      <c r="E176" s="554">
        <f>D176/C176*100</f>
        <v>84.625571428571433</v>
      </c>
      <c r="F176" s="446">
        <v>101180</v>
      </c>
      <c r="G176" s="434" t="s">
        <v>381</v>
      </c>
    </row>
    <row r="177" spans="1:12" s="368" customFormat="1" ht="15" customHeight="1" thickTop="1" x14ac:dyDescent="0.2">
      <c r="A177" s="553"/>
      <c r="B177" s="376"/>
      <c r="C177" s="376"/>
      <c r="D177" s="376"/>
      <c r="E177" s="445"/>
      <c r="F177" s="446"/>
      <c r="G177" s="434"/>
    </row>
    <row r="178" spans="1:12" s="368" customFormat="1" ht="15" customHeight="1" x14ac:dyDescent="0.2">
      <c r="A178" s="553"/>
      <c r="B178" s="376"/>
      <c r="C178" s="376"/>
      <c r="D178" s="376"/>
      <c r="E178" s="445"/>
      <c r="F178" s="446"/>
      <c r="G178" s="434"/>
    </row>
    <row r="179" spans="1:12" s="368" customFormat="1" ht="18.75" thickBot="1" x14ac:dyDescent="0.25">
      <c r="A179" s="551" t="s">
        <v>84</v>
      </c>
      <c r="B179" s="608">
        <f>B170</f>
        <v>5580000</v>
      </c>
      <c r="C179" s="450">
        <f>C170</f>
        <v>2870500</v>
      </c>
      <c r="D179" s="450">
        <f>D170</f>
        <v>2173286.9</v>
      </c>
      <c r="E179" s="552">
        <f>D179/C179*100</f>
        <v>75.711092144225745</v>
      </c>
      <c r="F179" s="369"/>
      <c r="G179" s="294"/>
    </row>
    <row r="180" spans="1:12" s="368" customFormat="1" ht="13.5" thickTop="1" x14ac:dyDescent="0.2">
      <c r="B180" s="599"/>
      <c r="E180" s="320"/>
      <c r="F180" s="369"/>
      <c r="G180" s="294"/>
    </row>
    <row r="181" spans="1:12" s="368" customFormat="1" x14ac:dyDescent="0.2">
      <c r="B181" s="599"/>
      <c r="E181" s="320"/>
      <c r="F181" s="369"/>
      <c r="G181" s="294"/>
    </row>
    <row r="182" spans="1:12" s="368" customFormat="1" ht="18" x14ac:dyDescent="0.25">
      <c r="A182" s="270" t="s">
        <v>85</v>
      </c>
      <c r="B182" s="607"/>
      <c r="C182" s="440"/>
      <c r="D182" s="441"/>
      <c r="E182" s="440"/>
      <c r="F182" s="369"/>
      <c r="G182" s="294"/>
    </row>
    <row r="183" spans="1:12" s="368" customFormat="1" ht="15.75" thickBot="1" x14ac:dyDescent="0.3">
      <c r="A183" s="283" t="s">
        <v>720</v>
      </c>
      <c r="B183" s="607"/>
      <c r="C183" s="440"/>
      <c r="D183" s="441"/>
      <c r="E183" s="440" t="s">
        <v>18</v>
      </c>
      <c r="F183" s="369"/>
      <c r="G183" s="294"/>
    </row>
    <row r="184" spans="1:12" s="368" customFormat="1" ht="14.25" thickTop="1" thickBot="1" x14ac:dyDescent="0.25">
      <c r="A184" s="442" t="s">
        <v>5</v>
      </c>
      <c r="B184" s="287" t="s">
        <v>0</v>
      </c>
      <c r="C184" s="288" t="s">
        <v>1</v>
      </c>
      <c r="D184" s="289" t="s">
        <v>4</v>
      </c>
      <c r="E184" s="290" t="s">
        <v>6</v>
      </c>
      <c r="F184" s="369"/>
      <c r="G184" s="294"/>
    </row>
    <row r="185" spans="1:12" s="368" customFormat="1" ht="15.75" thickTop="1" x14ac:dyDescent="0.25">
      <c r="A185" s="451" t="s">
        <v>47</v>
      </c>
      <c r="B185" s="452">
        <f>SUM(B186:B187)</f>
        <v>77000</v>
      </c>
      <c r="C185" s="452">
        <f>SUM(C186:C187)</f>
        <v>147000</v>
      </c>
      <c r="D185" s="452">
        <f>SUM(D186:D187)</f>
        <v>60500</v>
      </c>
      <c r="E185" s="361">
        <f t="shared" ref="E185:E187" si="17">D185/C185*100</f>
        <v>41.156462585034014</v>
      </c>
      <c r="F185" s="369"/>
      <c r="G185" s="294"/>
    </row>
    <row r="186" spans="1:12" s="368" customFormat="1" x14ac:dyDescent="0.2">
      <c r="A186" s="640" t="s">
        <v>382</v>
      </c>
      <c r="B186" s="447">
        <v>0</v>
      </c>
      <c r="C186" s="447">
        <v>70000</v>
      </c>
      <c r="D186" s="447">
        <v>60500</v>
      </c>
      <c r="E186" s="303">
        <f t="shared" si="17"/>
        <v>86.428571428571431</v>
      </c>
      <c r="F186" s="369">
        <v>101234</v>
      </c>
      <c r="G186" s="434" t="s">
        <v>111</v>
      </c>
      <c r="H186" s="365"/>
      <c r="I186" s="366"/>
      <c r="J186" s="366"/>
      <c r="K186" s="366"/>
    </row>
    <row r="187" spans="1:12" s="368" customFormat="1" ht="13.5" thickBot="1" x14ac:dyDescent="0.25">
      <c r="A187" s="555" t="s">
        <v>189</v>
      </c>
      <c r="B187" s="556">
        <v>77000</v>
      </c>
      <c r="C187" s="556">
        <v>77000</v>
      </c>
      <c r="D187" s="556">
        <v>0</v>
      </c>
      <c r="E187" s="488">
        <f t="shared" si="17"/>
        <v>0</v>
      </c>
      <c r="F187" s="369">
        <v>101119</v>
      </c>
      <c r="G187" s="434" t="s">
        <v>373</v>
      </c>
      <c r="H187" s="365"/>
      <c r="I187" s="365" t="s">
        <v>37</v>
      </c>
      <c r="J187" s="366">
        <f>SUM(B185)</f>
        <v>77000</v>
      </c>
      <c r="K187" s="366">
        <f>SUM(C185)</f>
        <v>147000</v>
      </c>
      <c r="L187" s="366">
        <f>SUM(D185)</f>
        <v>60500</v>
      </c>
    </row>
    <row r="188" spans="1:12" s="368" customFormat="1" ht="15.75" thickTop="1" x14ac:dyDescent="0.25">
      <c r="A188" s="454"/>
      <c r="B188" s="455"/>
      <c r="C188" s="455"/>
      <c r="D188" s="455"/>
      <c r="E188" s="456"/>
      <c r="F188" s="369"/>
      <c r="G188" s="294"/>
      <c r="J188" s="439">
        <f>SUM(J187)</f>
        <v>77000</v>
      </c>
      <c r="K188" s="439">
        <f>SUM(K187)</f>
        <v>147000</v>
      </c>
      <c r="L188" s="439">
        <f>SUM(L187)</f>
        <v>60500</v>
      </c>
    </row>
    <row r="189" spans="1:12" s="368" customFormat="1" ht="15" x14ac:dyDescent="0.25">
      <c r="A189" s="454"/>
      <c r="B189" s="455"/>
      <c r="C189" s="455"/>
      <c r="D189" s="455"/>
      <c r="E189" s="456"/>
      <c r="F189" s="369"/>
      <c r="G189" s="294"/>
      <c r="J189" s="439"/>
      <c r="K189" s="439"/>
      <c r="L189" s="439"/>
    </row>
    <row r="190" spans="1:12" s="368" customFormat="1" ht="18.75" thickBot="1" x14ac:dyDescent="0.25">
      <c r="A190" s="449" t="s">
        <v>48</v>
      </c>
      <c r="B190" s="608">
        <f>B185</f>
        <v>77000</v>
      </c>
      <c r="C190" s="450">
        <f>C185</f>
        <v>147000</v>
      </c>
      <c r="D190" s="450">
        <f>D185</f>
        <v>60500</v>
      </c>
      <c r="E190" s="342">
        <f>D190/C190*100</f>
        <v>41.156462585034014</v>
      </c>
      <c r="F190" s="369"/>
      <c r="G190" s="294"/>
    </row>
    <row r="191" spans="1:12" s="368" customFormat="1" ht="13.5" customHeight="1" thickTop="1" x14ac:dyDescent="0.2">
      <c r="A191" s="457"/>
      <c r="B191" s="609"/>
      <c r="C191" s="458"/>
      <c r="D191" s="458"/>
      <c r="E191" s="459"/>
      <c r="F191" s="369"/>
      <c r="G191" s="294"/>
    </row>
    <row r="192" spans="1:12" s="368" customFormat="1" ht="12.75" customHeight="1" x14ac:dyDescent="0.2">
      <c r="A192" s="457"/>
      <c r="B192" s="609"/>
      <c r="C192" s="458"/>
      <c r="D192" s="458"/>
      <c r="E192" s="459"/>
      <c r="F192" s="369"/>
      <c r="G192" s="294"/>
    </row>
    <row r="193" spans="1:12" s="368" customFormat="1" ht="18" x14ac:dyDescent="0.25">
      <c r="A193" s="270" t="s">
        <v>86</v>
      </c>
      <c r="B193" s="607"/>
      <c r="C193" s="440"/>
      <c r="D193" s="441"/>
      <c r="E193" s="440"/>
      <c r="F193" s="369"/>
      <c r="G193" s="294"/>
    </row>
    <row r="194" spans="1:12" s="368" customFormat="1" ht="15.75" thickBot="1" x14ac:dyDescent="0.3">
      <c r="A194" s="283" t="s">
        <v>720</v>
      </c>
      <c r="B194" s="607"/>
      <c r="C194" s="440"/>
      <c r="D194" s="441"/>
      <c r="E194" s="440" t="s">
        <v>18</v>
      </c>
      <c r="F194" s="369"/>
      <c r="G194" s="294"/>
    </row>
    <row r="195" spans="1:12" s="368" customFormat="1" ht="14.25" thickTop="1" thickBot="1" x14ac:dyDescent="0.25">
      <c r="A195" s="442" t="s">
        <v>5</v>
      </c>
      <c r="B195" s="287" t="s">
        <v>0</v>
      </c>
      <c r="C195" s="288" t="s">
        <v>1</v>
      </c>
      <c r="D195" s="289" t="s">
        <v>4</v>
      </c>
      <c r="E195" s="290" t="s">
        <v>6</v>
      </c>
      <c r="F195" s="369"/>
      <c r="G195" s="294"/>
    </row>
    <row r="196" spans="1:12" s="368" customFormat="1" ht="15.75" thickTop="1" x14ac:dyDescent="0.25">
      <c r="A196" s="451" t="s">
        <v>68</v>
      </c>
      <c r="B196" s="452">
        <f>SUM(B197:B199)</f>
        <v>11000000</v>
      </c>
      <c r="C196" s="452">
        <f>SUM(C197:C199)</f>
        <v>1280000</v>
      </c>
      <c r="D196" s="452">
        <f t="shared" ref="D196" si="18">SUM(D197:D199)</f>
        <v>394660</v>
      </c>
      <c r="E196" s="325">
        <f>D196/C196*100</f>
        <v>30.832812499999999</v>
      </c>
      <c r="F196" s="369"/>
      <c r="G196" s="294"/>
    </row>
    <row r="197" spans="1:12" s="368" customFormat="1" x14ac:dyDescent="0.2">
      <c r="A197" s="667" t="s">
        <v>190</v>
      </c>
      <c r="B197" s="377">
        <v>1100000</v>
      </c>
      <c r="C197" s="377">
        <v>1100000</v>
      </c>
      <c r="D197" s="377">
        <v>223850</v>
      </c>
      <c r="E197" s="298">
        <f>D197/C197*100</f>
        <v>20.349999999999998</v>
      </c>
      <c r="F197" s="369">
        <v>101135</v>
      </c>
      <c r="G197" s="434" t="s">
        <v>111</v>
      </c>
    </row>
    <row r="198" spans="1:12" s="368" customFormat="1" x14ac:dyDescent="0.2">
      <c r="A198" s="668"/>
      <c r="B198" s="447">
        <v>9900000</v>
      </c>
      <c r="C198" s="447">
        <v>0</v>
      </c>
      <c r="D198" s="447">
        <v>0</v>
      </c>
      <c r="E198" s="303">
        <v>0</v>
      </c>
      <c r="F198" s="369">
        <v>101135</v>
      </c>
      <c r="G198" s="434" t="s">
        <v>374</v>
      </c>
    </row>
    <row r="199" spans="1:12" s="368" customFormat="1" ht="13.5" thickBot="1" x14ac:dyDescent="0.25">
      <c r="A199" s="453" t="s">
        <v>383</v>
      </c>
      <c r="B199" s="374">
        <v>0</v>
      </c>
      <c r="C199" s="374">
        <v>180000</v>
      </c>
      <c r="D199" s="374">
        <v>170810</v>
      </c>
      <c r="E199" s="316">
        <f>D199/C199*100</f>
        <v>94.894444444444446</v>
      </c>
      <c r="F199" s="369">
        <v>101244</v>
      </c>
      <c r="G199" s="434" t="s">
        <v>111</v>
      </c>
      <c r="I199" s="495" t="s">
        <v>37</v>
      </c>
      <c r="J199" s="491">
        <f>SUM(B197:B199)</f>
        <v>11000000</v>
      </c>
      <c r="K199" s="491">
        <f t="shared" ref="K199:L199" si="19">SUM(C197:C199)</f>
        <v>1280000</v>
      </c>
      <c r="L199" s="491">
        <f t="shared" si="19"/>
        <v>394660</v>
      </c>
    </row>
    <row r="200" spans="1:12" s="368" customFormat="1" ht="15.75" thickTop="1" x14ac:dyDescent="0.25">
      <c r="A200" s="454"/>
      <c r="B200" s="455"/>
      <c r="C200" s="455"/>
      <c r="D200" s="455"/>
      <c r="E200" s="456"/>
      <c r="F200" s="369"/>
      <c r="G200" s="294"/>
      <c r="J200" s="439">
        <f>SUM(J199)</f>
        <v>11000000</v>
      </c>
      <c r="K200" s="439">
        <f>SUM(K199)</f>
        <v>1280000</v>
      </c>
      <c r="L200" s="439">
        <f t="shared" ref="L200" si="20">SUM(L199)</f>
        <v>394660</v>
      </c>
    </row>
    <row r="201" spans="1:12" s="368" customFormat="1" ht="15" x14ac:dyDescent="0.25">
      <c r="A201" s="454"/>
      <c r="B201" s="455"/>
      <c r="C201" s="455"/>
      <c r="D201" s="455"/>
      <c r="E201" s="456"/>
      <c r="F201" s="369"/>
      <c r="G201" s="294"/>
      <c r="J201" s="439"/>
      <c r="K201" s="439"/>
      <c r="L201" s="439"/>
    </row>
    <row r="202" spans="1:12" s="368" customFormat="1" ht="18.75" thickBot="1" x14ac:dyDescent="0.25">
      <c r="A202" s="449" t="s">
        <v>69</v>
      </c>
      <c r="B202" s="450">
        <f>B196</f>
        <v>11000000</v>
      </c>
      <c r="C202" s="450">
        <f>C196</f>
        <v>1280000</v>
      </c>
      <c r="D202" s="450">
        <f>D196</f>
        <v>394660</v>
      </c>
      <c r="E202" s="342">
        <f>D202/C202*100</f>
        <v>30.832812499999999</v>
      </c>
      <c r="F202" s="369"/>
      <c r="G202" s="294"/>
      <c r="H202" s="294"/>
    </row>
    <row r="203" spans="1:12" s="368" customFormat="1" ht="18.75" thickTop="1" x14ac:dyDescent="0.2">
      <c r="A203" s="457"/>
      <c r="B203" s="458"/>
      <c r="C203" s="458"/>
      <c r="D203" s="458"/>
      <c r="E203" s="459"/>
      <c r="F203" s="369"/>
      <c r="G203" s="294"/>
      <c r="H203" s="294"/>
    </row>
    <row r="204" spans="1:12" x14ac:dyDescent="0.2">
      <c r="F204" s="463"/>
      <c r="G204" s="294"/>
      <c r="H204" s="294"/>
    </row>
    <row r="205" spans="1:12" x14ac:dyDescent="0.2">
      <c r="B205" s="460"/>
      <c r="F205" s="464"/>
      <c r="G205" s="294"/>
      <c r="H205" s="294"/>
    </row>
    <row r="206" spans="1:12" ht="14.25" x14ac:dyDescent="0.2">
      <c r="A206" s="465" t="s">
        <v>12</v>
      </c>
      <c r="B206" s="465"/>
      <c r="C206" s="465"/>
      <c r="D206" s="465"/>
      <c r="E206" s="466"/>
      <c r="F206" s="467"/>
      <c r="G206" s="294"/>
      <c r="H206" s="294"/>
    </row>
    <row r="207" spans="1:12" ht="14.25" x14ac:dyDescent="0.2">
      <c r="A207" s="468" t="s">
        <v>16</v>
      </c>
      <c r="B207" s="462">
        <f>SUM(B58)</f>
        <v>80546000</v>
      </c>
      <c r="C207" s="462">
        <f>SUM(C58)</f>
        <v>57655500</v>
      </c>
      <c r="D207" s="462">
        <f>SUM(D58)</f>
        <v>50193975.519999996</v>
      </c>
      <c r="E207" s="469">
        <f t="shared" ref="E207:E215" si="21">D207/C207*100</f>
        <v>87.058434182341657</v>
      </c>
      <c r="F207" s="470"/>
      <c r="G207" s="294"/>
      <c r="H207" s="294"/>
    </row>
    <row r="208" spans="1:12" ht="14.25" x14ac:dyDescent="0.2">
      <c r="A208" s="468" t="s">
        <v>15</v>
      </c>
      <c r="B208" s="462">
        <f>SUM(B79)</f>
        <v>30739000</v>
      </c>
      <c r="C208" s="462">
        <f>SUM(C79)</f>
        <v>29393260</v>
      </c>
      <c r="D208" s="462">
        <f>SUM(D79)</f>
        <v>26907811.77</v>
      </c>
      <c r="E208" s="469">
        <f t="shared" si="21"/>
        <v>91.54415593915067</v>
      </c>
      <c r="F208" s="471"/>
      <c r="G208" s="294"/>
      <c r="H208" s="294"/>
    </row>
    <row r="209" spans="1:12" ht="14.25" x14ac:dyDescent="0.2">
      <c r="A209" s="468" t="s">
        <v>17</v>
      </c>
      <c r="B209" s="462">
        <f>SUM(B95)</f>
        <v>1461000</v>
      </c>
      <c r="C209" s="462">
        <f>SUM(C95)</f>
        <v>41736300</v>
      </c>
      <c r="D209" s="462">
        <f>SUM(D95)</f>
        <v>26257375.879999999</v>
      </c>
      <c r="E209" s="469">
        <f t="shared" si="21"/>
        <v>62.912562637320512</v>
      </c>
      <c r="G209" s="294"/>
      <c r="H209" s="294"/>
    </row>
    <row r="210" spans="1:12" ht="14.25" x14ac:dyDescent="0.2">
      <c r="A210" s="468" t="s">
        <v>13</v>
      </c>
      <c r="B210" s="462">
        <f>SUM(B137)</f>
        <v>58692000</v>
      </c>
      <c r="C210" s="462">
        <f>SUM(C137)</f>
        <v>230178164.20999998</v>
      </c>
      <c r="D210" s="462">
        <f>SUM(D137)</f>
        <v>200292407.90000001</v>
      </c>
      <c r="E210" s="469">
        <f t="shared" si="21"/>
        <v>87.01625047164157</v>
      </c>
      <c r="G210" s="294"/>
      <c r="H210" s="294"/>
    </row>
    <row r="211" spans="1:12" ht="15" thickBot="1" x14ac:dyDescent="0.25">
      <c r="A211" s="468" t="s">
        <v>14</v>
      </c>
      <c r="B211" s="462">
        <f>SUM(B164)</f>
        <v>15100000</v>
      </c>
      <c r="C211" s="462">
        <f>SUM(C164)</f>
        <v>11209582.77</v>
      </c>
      <c r="D211" s="462">
        <f>SUM(D164)</f>
        <v>8213516.5599999996</v>
      </c>
      <c r="E211" s="469">
        <f t="shared" si="21"/>
        <v>73.272277198235088</v>
      </c>
      <c r="G211" s="294"/>
      <c r="H211" s="294"/>
      <c r="I211" s="322"/>
      <c r="J211" s="322"/>
      <c r="K211" s="322"/>
      <c r="L211" s="322"/>
    </row>
    <row r="212" spans="1:12" ht="15" thickTop="1" x14ac:dyDescent="0.2">
      <c r="A212" s="468" t="s">
        <v>87</v>
      </c>
      <c r="B212" s="462">
        <f>B179</f>
        <v>5580000</v>
      </c>
      <c r="C212" s="462">
        <f>C179</f>
        <v>2870500</v>
      </c>
      <c r="D212" s="462">
        <f>D179</f>
        <v>2173286.9</v>
      </c>
      <c r="E212" s="469">
        <f t="shared" si="21"/>
        <v>75.711092144225745</v>
      </c>
      <c r="G212" s="294"/>
      <c r="H212" s="294"/>
      <c r="I212" s="389" t="s">
        <v>39</v>
      </c>
      <c r="J212" s="492">
        <f>J133</f>
        <v>48692000</v>
      </c>
      <c r="K212" s="492">
        <f>K133</f>
        <v>138720454.94999999</v>
      </c>
      <c r="L212" s="492">
        <f>L133</f>
        <v>118834698.64</v>
      </c>
    </row>
    <row r="213" spans="1:12" ht="14.25" x14ac:dyDescent="0.2">
      <c r="A213" s="468" t="s">
        <v>49</v>
      </c>
      <c r="B213" s="462">
        <f>B190</f>
        <v>77000</v>
      </c>
      <c r="C213" s="462">
        <f>C190</f>
        <v>147000</v>
      </c>
      <c r="D213" s="462">
        <f>D190</f>
        <v>60500</v>
      </c>
      <c r="E213" s="469">
        <f t="shared" si="21"/>
        <v>41.156462585034014</v>
      </c>
      <c r="G213" s="294"/>
      <c r="H213" s="294"/>
      <c r="I213" s="299" t="s">
        <v>43</v>
      </c>
      <c r="J213" s="475">
        <f>J154+J94+J77+J53</f>
        <v>114575000</v>
      </c>
      <c r="K213" s="475">
        <f>K154+K94+K77+K53</f>
        <v>129955642.77</v>
      </c>
      <c r="L213" s="475">
        <f>L154+L94+L77+L53</f>
        <v>103349096.13</v>
      </c>
    </row>
    <row r="214" spans="1:12" ht="14.25" x14ac:dyDescent="0.2">
      <c r="A214" s="468" t="s">
        <v>70</v>
      </c>
      <c r="B214" s="462">
        <f>B202</f>
        <v>11000000</v>
      </c>
      <c r="C214" s="462">
        <f>C202</f>
        <v>1280000</v>
      </c>
      <c r="D214" s="462">
        <f>D202</f>
        <v>394660</v>
      </c>
      <c r="E214" s="469">
        <f t="shared" si="21"/>
        <v>30.832812499999999</v>
      </c>
      <c r="G214" s="294"/>
      <c r="H214" s="294"/>
      <c r="I214" s="314" t="s">
        <v>37</v>
      </c>
      <c r="J214" s="477">
        <f>J199+J187+J170+J155+J134+J54</f>
        <v>39928000</v>
      </c>
      <c r="K214" s="477">
        <f>K199+K187+K170+K155+K134+K54</f>
        <v>18795500</v>
      </c>
      <c r="L214" s="477">
        <f>L199+L187+L170+L155+L134+L54</f>
        <v>5311030.5</v>
      </c>
    </row>
    <row r="215" spans="1:12" ht="15.75" thickBot="1" x14ac:dyDescent="0.25">
      <c r="A215" s="472" t="s">
        <v>3</v>
      </c>
      <c r="B215" s="473">
        <f>SUM(B207:B214)</f>
        <v>203195000</v>
      </c>
      <c r="C215" s="473">
        <f>SUM(C207:C214)</f>
        <v>374470306.97999996</v>
      </c>
      <c r="D215" s="473">
        <f>SUM(D207:D214)</f>
        <v>314493534.52999997</v>
      </c>
      <c r="E215" s="474">
        <f t="shared" si="21"/>
        <v>83.983570571003028</v>
      </c>
      <c r="I215" s="327" t="s">
        <v>35</v>
      </c>
      <c r="J215" s="478">
        <f>J135+J55</f>
        <v>0</v>
      </c>
      <c r="K215" s="478">
        <f>K135+K55</f>
        <v>86998709.260000005</v>
      </c>
      <c r="L215" s="478">
        <f>L135+L55</f>
        <v>86998709.260000005</v>
      </c>
    </row>
    <row r="216" spans="1:12" ht="15.75" thickTop="1" x14ac:dyDescent="0.25">
      <c r="F216" s="274"/>
      <c r="G216" s="274"/>
      <c r="H216" s="476"/>
      <c r="I216" s="281"/>
      <c r="J216" s="308">
        <f>SUM(J212:J215)</f>
        <v>203195000</v>
      </c>
      <c r="K216" s="308">
        <f t="shared" ref="K216:L216" si="22">SUM(K212:K215)</f>
        <v>374470306.97999996</v>
      </c>
      <c r="L216" s="308">
        <f t="shared" si="22"/>
        <v>314493534.52999997</v>
      </c>
    </row>
    <row r="217" spans="1:12" x14ac:dyDescent="0.2">
      <c r="F217" s="274"/>
      <c r="G217" s="274"/>
      <c r="I217" s="281"/>
      <c r="J217" s="479"/>
      <c r="K217" s="479"/>
      <c r="L217" s="479"/>
    </row>
    <row r="218" spans="1:12" x14ac:dyDescent="0.2">
      <c r="F218" s="274"/>
      <c r="G218" s="274"/>
      <c r="I218" s="281"/>
      <c r="J218" s="479"/>
      <c r="K218" s="479"/>
      <c r="L218" s="479"/>
    </row>
    <row r="219" spans="1:12" x14ac:dyDescent="0.2">
      <c r="A219" s="480"/>
      <c r="B219" s="481"/>
      <c r="C219" s="481"/>
      <c r="D219" s="481"/>
      <c r="E219" s="440"/>
      <c r="F219" s="274"/>
      <c r="G219" s="274"/>
      <c r="I219" s="461"/>
      <c r="J219" s="479"/>
      <c r="K219" s="479"/>
      <c r="L219" s="479"/>
    </row>
    <row r="220" spans="1:12" x14ac:dyDescent="0.2">
      <c r="A220" s="482"/>
      <c r="B220" s="483"/>
      <c r="C220" s="483"/>
      <c r="D220" s="483"/>
      <c r="E220" s="440"/>
      <c r="F220" s="274"/>
      <c r="G220" s="274"/>
      <c r="I220" s="281"/>
      <c r="J220" s="460"/>
      <c r="K220" s="460"/>
      <c r="L220" s="460"/>
    </row>
    <row r="221" spans="1:12" x14ac:dyDescent="0.2">
      <c r="A221" s="482"/>
      <c r="B221" s="483"/>
      <c r="C221" s="483"/>
      <c r="D221" s="483"/>
      <c r="E221" s="440"/>
      <c r="F221" s="274"/>
      <c r="G221" s="274"/>
      <c r="I221" s="503" t="s">
        <v>710</v>
      </c>
      <c r="J221" s="504">
        <v>0</v>
      </c>
      <c r="K221" s="504">
        <f>C134+C132+C112+C109+C91+C87+C89</f>
        <v>183833282.94</v>
      </c>
      <c r="L221" s="504">
        <f>D134+D132+D112+D109+D91+D87+D89</f>
        <v>161462326.19</v>
      </c>
    </row>
    <row r="222" spans="1:12" x14ac:dyDescent="0.2">
      <c r="A222" s="482"/>
      <c r="B222" s="483"/>
      <c r="C222" s="483"/>
      <c r="D222" s="483"/>
      <c r="E222" s="440"/>
      <c r="F222" s="278"/>
      <c r="G222" s="278"/>
      <c r="I222" s="496" t="s">
        <v>711</v>
      </c>
      <c r="J222" s="497">
        <f>J216-J221-J223</f>
        <v>203195000</v>
      </c>
      <c r="K222" s="497">
        <f t="shared" ref="K222:L222" si="23">K216-K221-K223</f>
        <v>168711927.51999995</v>
      </c>
      <c r="L222" s="497">
        <f t="shared" si="23"/>
        <v>131106111.81999996</v>
      </c>
    </row>
    <row r="223" spans="1:12" x14ac:dyDescent="0.2">
      <c r="A223" s="484"/>
      <c r="B223" s="441"/>
      <c r="C223" s="441"/>
      <c r="D223" s="441"/>
      <c r="E223" s="440"/>
      <c r="F223" s="278"/>
      <c r="G223" s="278"/>
      <c r="I223" s="498" t="s">
        <v>712</v>
      </c>
      <c r="J223" s="499">
        <f>B146+B130+B120</f>
        <v>0</v>
      </c>
      <c r="K223" s="499">
        <f>C146+C130+C120</f>
        <v>21925096.520000003</v>
      </c>
      <c r="L223" s="499">
        <f>D146+D130+D120</f>
        <v>21925096.520000003</v>
      </c>
    </row>
    <row r="224" spans="1:12" ht="15" x14ac:dyDescent="0.25">
      <c r="A224" s="484"/>
      <c r="B224" s="441"/>
      <c r="C224" s="441"/>
      <c r="D224" s="441"/>
      <c r="E224" s="440"/>
      <c r="F224" s="278"/>
      <c r="G224" s="278"/>
      <c r="J224" s="308">
        <f>SUM(J220:J223)</f>
        <v>203195000</v>
      </c>
      <c r="K224" s="308">
        <f t="shared" ref="K224:L224" si="24">SUM(K220:K223)</f>
        <v>374470306.9799999</v>
      </c>
      <c r="L224" s="308">
        <f t="shared" si="24"/>
        <v>314493534.52999997</v>
      </c>
    </row>
    <row r="225" spans="1:12" x14ac:dyDescent="0.2">
      <c r="E225" s="278"/>
      <c r="F225" s="278"/>
      <c r="G225" s="278"/>
    </row>
    <row r="226" spans="1:12" x14ac:dyDescent="0.2">
      <c r="E226" s="278"/>
      <c r="F226" s="278"/>
      <c r="G226" s="278"/>
      <c r="K226" s="460"/>
    </row>
    <row r="227" spans="1:12" x14ac:dyDescent="0.2">
      <c r="E227" s="278"/>
      <c r="F227" s="278"/>
      <c r="G227" s="278"/>
    </row>
    <row r="228" spans="1:12" x14ac:dyDescent="0.2">
      <c r="E228" s="278"/>
      <c r="F228" s="278"/>
      <c r="G228" s="278"/>
    </row>
    <row r="229" spans="1:12" s="280" customFormat="1" x14ac:dyDescent="0.2">
      <c r="A229" s="278"/>
      <c r="B229" s="278"/>
      <c r="C229" s="278"/>
      <c r="D229" s="278"/>
      <c r="E229" s="278"/>
      <c r="G229" s="281"/>
      <c r="H229" s="281"/>
      <c r="I229" s="278"/>
      <c r="J229" s="278"/>
      <c r="K229" s="278"/>
      <c r="L229" s="278"/>
    </row>
    <row r="230" spans="1:12" s="280" customFormat="1" x14ac:dyDescent="0.2">
      <c r="A230" s="278"/>
      <c r="B230" s="278"/>
      <c r="C230" s="278"/>
      <c r="D230" s="278"/>
      <c r="E230" s="278"/>
      <c r="G230" s="281"/>
      <c r="H230" s="281"/>
      <c r="I230" s="278"/>
      <c r="J230" s="278"/>
      <c r="K230" s="278"/>
      <c r="L230" s="278"/>
    </row>
    <row r="231" spans="1:12" s="280" customFormat="1" x14ac:dyDescent="0.2">
      <c r="A231" s="278"/>
      <c r="B231" s="278"/>
      <c r="C231" s="278"/>
      <c r="D231" s="278"/>
      <c r="E231" s="278"/>
      <c r="G231" s="281"/>
      <c r="H231" s="281"/>
      <c r="I231" s="278"/>
      <c r="J231" s="278"/>
      <c r="K231" s="278"/>
      <c r="L231" s="278"/>
    </row>
  </sheetData>
  <mergeCells count="22">
    <mergeCell ref="A75:A76"/>
    <mergeCell ref="A108:A109"/>
    <mergeCell ref="A111:A112"/>
    <mergeCell ref="A118:A120"/>
    <mergeCell ref="A11:A12"/>
    <mergeCell ref="A19:A20"/>
    <mergeCell ref="A21:A22"/>
    <mergeCell ref="A67:A68"/>
    <mergeCell ref="A71:A72"/>
    <mergeCell ref="A73:A74"/>
    <mergeCell ref="A86:A87"/>
    <mergeCell ref="A88:A89"/>
    <mergeCell ref="A90:A91"/>
    <mergeCell ref="A171:A172"/>
    <mergeCell ref="A173:A174"/>
    <mergeCell ref="A175:A176"/>
    <mergeCell ref="A197:A198"/>
    <mergeCell ref="A131:A132"/>
    <mergeCell ref="A133:A134"/>
    <mergeCell ref="A145:A146"/>
    <mergeCell ref="A155:A156"/>
    <mergeCell ref="A157:A158"/>
  </mergeCells>
  <pageMargins left="0.78740157480314965" right="0.78740157480314965" top="0.98425196850393704" bottom="0.98425196850393704" header="0.51181102362204722" footer="0.51181102362204722"/>
  <pageSetup paperSize="9" scale="60" firstPageNumber="180" fitToHeight="5" orientation="portrait" useFirstPageNumber="1" r:id="rId1"/>
  <headerFooter alignWithMargins="0">
    <oddFooter xml:space="preserve">&amp;L&amp;"Arial,Kurzíva"Zastupitelstvo Olomouckého kraje 25. 6. 2018
5. - Rozpočet Olomouckého kraje 2017 - závěrečný účet
Příloha č. 8: Přehled financování oprav a investic v roce 2017&amp;R&amp;"Arial,Kurzíva"Strana &amp;P (celkem 478)
</oddFooter>
  </headerFooter>
  <rowBreaks count="3" manualBreakCount="3">
    <brk id="58" max="4" man="1"/>
    <brk id="137" max="4" man="1"/>
    <brk id="220" max="4" man="1"/>
  </rowBreaks>
  <colBreaks count="1" manualBreakCount="1">
    <brk id="5" max="1048575" man="1"/>
  </colBreaks>
  <ignoredErrors>
    <ignoredError sqref="J154:L155 J54:L54" formulaRange="1"/>
    <ignoredError sqref="F65:F6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showGridLines="0" tabSelected="1" view="pageBreakPreview" zoomScaleNormal="100" zoomScaleSheetLayoutView="100" workbookViewId="0">
      <selection activeCell="A41" sqref="A41"/>
    </sheetView>
  </sheetViews>
  <sheetFormatPr defaultRowHeight="12.75" x14ac:dyDescent="0.2"/>
  <cols>
    <col min="1" max="1" width="77.7109375" style="5" customWidth="1"/>
    <col min="2" max="2" width="17.140625" style="5" customWidth="1"/>
    <col min="3" max="3" width="17.28515625" style="5" customWidth="1"/>
    <col min="4" max="4" width="17.28515625" style="5" bestFit="1" customWidth="1"/>
    <col min="5" max="5" width="7.5703125" style="37" customWidth="1"/>
    <col min="6" max="6" width="15.28515625" style="93" customWidth="1"/>
    <col min="7" max="7" width="19.140625" style="38" customWidth="1"/>
    <col min="8" max="8" width="9.85546875" style="38" customWidth="1"/>
    <col min="9" max="9" width="17.7109375" style="5" customWidth="1"/>
    <col min="10" max="10" width="18.28515625" style="5" customWidth="1"/>
    <col min="11" max="11" width="18.7109375" style="5" customWidth="1"/>
    <col min="12" max="12" width="17.5703125" style="5" customWidth="1"/>
    <col min="13" max="16384" width="9.140625" style="5"/>
  </cols>
  <sheetData>
    <row r="1" spans="1:8" s="32" customFormat="1" ht="18" x14ac:dyDescent="0.25">
      <c r="A1" s="29" t="s">
        <v>207</v>
      </c>
      <c r="B1" s="29"/>
      <c r="C1" s="29"/>
      <c r="D1" s="29"/>
      <c r="E1" s="29"/>
      <c r="F1" s="92"/>
      <c r="G1" s="30"/>
      <c r="H1" s="31"/>
    </row>
    <row r="2" spans="1:8" s="35" customFormat="1" ht="15.75" x14ac:dyDescent="0.25">
      <c r="A2" s="33" t="s">
        <v>230</v>
      </c>
      <c r="B2" s="34"/>
      <c r="C2" s="34"/>
      <c r="D2" s="34"/>
      <c r="E2" s="34"/>
      <c r="F2" s="92"/>
      <c r="G2" s="30"/>
      <c r="H2" s="31"/>
    </row>
    <row r="3" spans="1:8" ht="12" customHeight="1" x14ac:dyDescent="0.2"/>
    <row r="4" spans="1:8" ht="15" customHeight="1" x14ac:dyDescent="0.25">
      <c r="A4" s="36" t="s">
        <v>723</v>
      </c>
    </row>
    <row r="5" spans="1:8" ht="15" customHeight="1" thickBot="1" x14ac:dyDescent="0.3">
      <c r="A5" s="39" t="s">
        <v>720</v>
      </c>
      <c r="E5" s="40" t="s">
        <v>18</v>
      </c>
    </row>
    <row r="6" spans="1:8" ht="14.25" thickTop="1" thickBot="1" x14ac:dyDescent="0.25">
      <c r="A6" s="41" t="s">
        <v>5</v>
      </c>
      <c r="B6" s="42" t="s">
        <v>0</v>
      </c>
      <c r="C6" s="43" t="s">
        <v>1</v>
      </c>
      <c r="D6" s="44" t="s">
        <v>4</v>
      </c>
      <c r="E6" s="45" t="s">
        <v>6</v>
      </c>
    </row>
    <row r="7" spans="1:8" ht="15.75" thickTop="1" x14ac:dyDescent="0.2">
      <c r="A7" s="46" t="s">
        <v>31</v>
      </c>
      <c r="B7" s="69">
        <f>SUM(B8:B14)</f>
        <v>24764000</v>
      </c>
      <c r="C7" s="69">
        <f>SUM(C8:C14)</f>
        <v>27262852</v>
      </c>
      <c r="D7" s="69">
        <f>SUM(D8:D14)</f>
        <v>15642017.399999999</v>
      </c>
      <c r="E7" s="79">
        <f>D7/C7*100</f>
        <v>57.374838846647435</v>
      </c>
      <c r="F7" s="37"/>
    </row>
    <row r="8" spans="1:8" x14ac:dyDescent="0.2">
      <c r="A8" s="623" t="s">
        <v>179</v>
      </c>
      <c r="B8" s="632">
        <v>1210000</v>
      </c>
      <c r="C8" s="624">
        <v>4858852</v>
      </c>
      <c r="D8" s="624">
        <v>363387.2</v>
      </c>
      <c r="E8" s="615">
        <f t="shared" ref="E8:E14" si="0">D8/C8*100</f>
        <v>7.4788694942756031</v>
      </c>
      <c r="F8" s="86">
        <v>100816</v>
      </c>
      <c r="G8" s="118" t="s">
        <v>33</v>
      </c>
    </row>
    <row r="9" spans="1:8" x14ac:dyDescent="0.2">
      <c r="A9" s="268" t="s">
        <v>180</v>
      </c>
      <c r="B9" s="529">
        <v>1246000</v>
      </c>
      <c r="C9" s="269">
        <v>0</v>
      </c>
      <c r="D9" s="269">
        <v>0</v>
      </c>
      <c r="E9" s="245">
        <v>0</v>
      </c>
      <c r="F9" s="86">
        <v>100867</v>
      </c>
      <c r="G9" s="118" t="s">
        <v>33</v>
      </c>
    </row>
    <row r="10" spans="1:8" x14ac:dyDescent="0.2">
      <c r="A10" s="268" t="s">
        <v>186</v>
      </c>
      <c r="B10" s="529">
        <v>1750000</v>
      </c>
      <c r="C10" s="269">
        <v>1700000</v>
      </c>
      <c r="D10" s="269">
        <v>1700000</v>
      </c>
      <c r="E10" s="245">
        <f t="shared" si="0"/>
        <v>100</v>
      </c>
      <c r="F10" s="86">
        <v>101092</v>
      </c>
      <c r="G10" s="118" t="s">
        <v>33</v>
      </c>
    </row>
    <row r="11" spans="1:8" x14ac:dyDescent="0.2">
      <c r="A11" s="268" t="s">
        <v>187</v>
      </c>
      <c r="B11" s="528">
        <v>2208000</v>
      </c>
      <c r="C11" s="269">
        <v>1818000</v>
      </c>
      <c r="D11" s="269">
        <v>24000</v>
      </c>
      <c r="E11" s="245">
        <f t="shared" si="0"/>
        <v>1.3201320132013201</v>
      </c>
      <c r="F11" s="86">
        <v>101093</v>
      </c>
      <c r="G11" s="118" t="s">
        <v>33</v>
      </c>
    </row>
    <row r="12" spans="1:8" x14ac:dyDescent="0.2">
      <c r="A12" s="268" t="s">
        <v>724</v>
      </c>
      <c r="B12" s="528">
        <v>8940000</v>
      </c>
      <c r="C12" s="269">
        <v>10380000</v>
      </c>
      <c r="D12" s="269">
        <v>9997002.1999999993</v>
      </c>
      <c r="E12" s="245">
        <f t="shared" si="0"/>
        <v>96.3102331406551</v>
      </c>
      <c r="F12" s="86">
        <v>101182</v>
      </c>
      <c r="G12" s="118" t="s">
        <v>33</v>
      </c>
    </row>
    <row r="13" spans="1:8" x14ac:dyDescent="0.2">
      <c r="A13" s="268" t="s">
        <v>725</v>
      </c>
      <c r="B13" s="528">
        <v>9210000</v>
      </c>
      <c r="C13" s="269">
        <v>8020630</v>
      </c>
      <c r="D13" s="269">
        <v>3072258</v>
      </c>
      <c r="E13" s="245">
        <f t="shared" si="0"/>
        <v>38.304447406251128</v>
      </c>
      <c r="F13" s="86">
        <v>101183</v>
      </c>
      <c r="G13" s="118" t="s">
        <v>33</v>
      </c>
    </row>
    <row r="14" spans="1:8" ht="13.5" thickBot="1" x14ac:dyDescent="0.25">
      <c r="A14" s="521" t="s">
        <v>726</v>
      </c>
      <c r="B14" s="530">
        <v>200000</v>
      </c>
      <c r="C14" s="522">
        <v>485370</v>
      </c>
      <c r="D14" s="522">
        <v>485370</v>
      </c>
      <c r="E14" s="251">
        <f t="shared" si="0"/>
        <v>100</v>
      </c>
      <c r="F14" s="86">
        <v>101140</v>
      </c>
      <c r="G14" s="152" t="s">
        <v>110</v>
      </c>
    </row>
    <row r="15" spans="1:8" ht="13.5" thickTop="1" x14ac:dyDescent="0.2">
      <c r="A15" s="161"/>
      <c r="B15" s="74"/>
      <c r="C15" s="70"/>
      <c r="D15" s="70"/>
      <c r="E15" s="53"/>
      <c r="F15" s="86"/>
      <c r="G15" s="152"/>
    </row>
    <row r="16" spans="1:8" s="7" customFormat="1" x14ac:dyDescent="0.2">
      <c r="E16" s="53"/>
      <c r="F16" s="83"/>
      <c r="G16" s="57"/>
      <c r="H16" s="57"/>
    </row>
    <row r="17" spans="1:11" ht="18.75" thickBot="1" x14ac:dyDescent="0.25">
      <c r="A17" s="340" t="s">
        <v>23</v>
      </c>
      <c r="B17" s="489">
        <f>B7</f>
        <v>24764000</v>
      </c>
      <c r="C17" s="489">
        <f>C7</f>
        <v>27262852</v>
      </c>
      <c r="D17" s="489">
        <f>D7</f>
        <v>15642017.399999999</v>
      </c>
      <c r="E17" s="342">
        <f>D17/C17*100</f>
        <v>57.374838846647435</v>
      </c>
      <c r="F17" s="91"/>
      <c r="G17" s="57"/>
      <c r="H17" s="118" t="s">
        <v>33</v>
      </c>
      <c r="I17" s="241">
        <f>SUM(B8:B13)</f>
        <v>24564000</v>
      </c>
      <c r="J17" s="241">
        <f t="shared" ref="J17:K17" si="1">SUM(C8:C13)</f>
        <v>26777482</v>
      </c>
      <c r="K17" s="241">
        <f t="shared" si="1"/>
        <v>15156647.399999999</v>
      </c>
    </row>
    <row r="18" spans="1:11" ht="13.5" thickTop="1" x14ac:dyDescent="0.2">
      <c r="B18" s="4"/>
      <c r="F18" s="101"/>
      <c r="G18" s="57"/>
      <c r="H18" s="153" t="s">
        <v>43</v>
      </c>
      <c r="I18" s="173">
        <f>B14</f>
        <v>200000</v>
      </c>
      <c r="J18" s="173">
        <f>C14</f>
        <v>485370</v>
      </c>
      <c r="K18" s="173">
        <f>D14</f>
        <v>485370</v>
      </c>
    </row>
    <row r="19" spans="1:11" ht="15" x14ac:dyDescent="0.25">
      <c r="B19" s="4"/>
      <c r="F19" s="101"/>
      <c r="G19" s="57"/>
      <c r="H19" s="153"/>
      <c r="I19" s="126">
        <f>SUM(I17:I18)</f>
        <v>24764000</v>
      </c>
      <c r="J19" s="126">
        <f>SUM(J17:J18)</f>
        <v>27262852</v>
      </c>
      <c r="K19" s="126">
        <f>SUM(K17:K18)</f>
        <v>15642017.399999999</v>
      </c>
    </row>
    <row r="20" spans="1:11" ht="14.25" x14ac:dyDescent="0.2">
      <c r="A20" s="71" t="s">
        <v>12</v>
      </c>
      <c r="B20" s="71"/>
      <c r="C20" s="71"/>
      <c r="D20" s="71"/>
      <c r="E20" s="72"/>
      <c r="F20" s="102"/>
      <c r="G20" s="57"/>
      <c r="H20" s="154"/>
    </row>
    <row r="21" spans="1:11" ht="14.25" x14ac:dyDescent="0.2">
      <c r="A21" s="73" t="s">
        <v>208</v>
      </c>
      <c r="B21" s="74">
        <f>B17</f>
        <v>24764000</v>
      </c>
      <c r="C21" s="74">
        <f t="shared" ref="C21:D21" si="2">C17</f>
        <v>27262852</v>
      </c>
      <c r="D21" s="74">
        <f t="shared" si="2"/>
        <v>15642017.399999999</v>
      </c>
      <c r="E21" s="75">
        <f t="shared" ref="E21" si="3">D21/C21*100</f>
        <v>57.374838846647435</v>
      </c>
      <c r="F21" s="103"/>
      <c r="G21" s="57"/>
      <c r="H21" s="123"/>
      <c r="I21" s="176"/>
      <c r="J21" s="176"/>
      <c r="K21" s="176"/>
    </row>
    <row r="22" spans="1:11" ht="15.75" thickBot="1" x14ac:dyDescent="0.25">
      <c r="A22" s="76" t="s">
        <v>3</v>
      </c>
      <c r="B22" s="77">
        <f>SUM(B21:B21)</f>
        <v>24764000</v>
      </c>
      <c r="C22" s="77">
        <f>SUM(C21:C21)</f>
        <v>27262852</v>
      </c>
      <c r="D22" s="77">
        <f>SUM(D21:D21)</f>
        <v>15642017.399999999</v>
      </c>
      <c r="E22" s="78">
        <f>D22/C22*100</f>
        <v>57.374838846647435</v>
      </c>
      <c r="I22" s="177"/>
      <c r="J22" s="177"/>
      <c r="K22" s="177"/>
    </row>
    <row r="23" spans="1:11" ht="13.5" thickTop="1" x14ac:dyDescent="0.2">
      <c r="F23" s="1"/>
      <c r="G23" s="1"/>
      <c r="I23" s="177"/>
      <c r="J23" s="177"/>
      <c r="K23" s="177"/>
    </row>
    <row r="24" spans="1:11" x14ac:dyDescent="0.2">
      <c r="F24" s="1"/>
      <c r="G24" s="1"/>
      <c r="I24" s="177"/>
      <c r="J24" s="177"/>
      <c r="K24" s="177"/>
    </row>
    <row r="25" spans="1:11" x14ac:dyDescent="0.2">
      <c r="F25" s="1"/>
      <c r="G25" s="1"/>
      <c r="H25" s="111"/>
      <c r="I25" s="177"/>
      <c r="J25" s="177"/>
      <c r="K25" s="177"/>
    </row>
    <row r="26" spans="1:11" x14ac:dyDescent="0.2">
      <c r="A26" s="125"/>
      <c r="B26" s="178"/>
      <c r="C26" s="178"/>
      <c r="D26" s="178"/>
      <c r="E26" s="2"/>
      <c r="F26" s="1"/>
      <c r="G26" s="1"/>
      <c r="I26" s="4"/>
      <c r="J26" s="4"/>
      <c r="K26" s="4"/>
    </row>
    <row r="27" spans="1:11" x14ac:dyDescent="0.2">
      <c r="A27" s="179"/>
      <c r="B27" s="180"/>
      <c r="C27" s="180"/>
      <c r="D27" s="180"/>
      <c r="E27" s="2"/>
      <c r="F27" s="1"/>
      <c r="G27" s="1"/>
    </row>
    <row r="28" spans="1:11" x14ac:dyDescent="0.2">
      <c r="A28" s="179"/>
      <c r="B28" s="180"/>
      <c r="C28" s="180"/>
      <c r="D28" s="180"/>
      <c r="E28" s="2"/>
      <c r="F28" s="1"/>
      <c r="G28" s="1"/>
    </row>
    <row r="29" spans="1:11" x14ac:dyDescent="0.2">
      <c r="A29" s="179"/>
      <c r="B29" s="180"/>
      <c r="C29" s="180"/>
      <c r="D29" s="180"/>
      <c r="E29" s="2"/>
      <c r="F29" s="5"/>
      <c r="G29" s="5"/>
    </row>
    <row r="30" spans="1:11" x14ac:dyDescent="0.2">
      <c r="A30" s="124"/>
      <c r="B30" s="109"/>
      <c r="C30" s="109"/>
      <c r="D30" s="109"/>
      <c r="E30" s="2"/>
      <c r="F30" s="5"/>
      <c r="G30" s="5"/>
    </row>
    <row r="31" spans="1:11" x14ac:dyDescent="0.2">
      <c r="A31" s="124"/>
      <c r="B31" s="109"/>
      <c r="C31" s="109"/>
      <c r="D31" s="109"/>
      <c r="E31" s="2"/>
      <c r="F31" s="5"/>
      <c r="G31" s="5"/>
    </row>
    <row r="32" spans="1:11" x14ac:dyDescent="0.2">
      <c r="E32" s="5"/>
      <c r="F32" s="5"/>
      <c r="G32" s="5"/>
    </row>
    <row r="33" spans="5:11" x14ac:dyDescent="0.2">
      <c r="E33" s="5"/>
      <c r="F33" s="5"/>
      <c r="G33" s="5"/>
      <c r="K33" s="4"/>
    </row>
    <row r="34" spans="5:11" x14ac:dyDescent="0.2">
      <c r="E34" s="5"/>
      <c r="F34" s="5"/>
      <c r="G34" s="5"/>
    </row>
    <row r="35" spans="5:11" x14ac:dyDescent="0.2">
      <c r="E35" s="5"/>
      <c r="F35" s="5"/>
      <c r="G35" s="5"/>
    </row>
    <row r="36" spans="5:11" x14ac:dyDescent="0.2">
      <c r="E36" s="5"/>
    </row>
    <row r="37" spans="5:11" x14ac:dyDescent="0.2">
      <c r="E37" s="5"/>
    </row>
    <row r="38" spans="5:11" x14ac:dyDescent="0.2">
      <c r="E38" s="5"/>
    </row>
  </sheetData>
  <pageMargins left="0.78740157480314965" right="0.78740157480314965" top="0.98425196850393704" bottom="0.98425196850393704" header="0.51181102362204722" footer="0.51181102362204722"/>
  <pageSetup paperSize="9" scale="60" firstPageNumber="183" fitToHeight="5" orientation="portrait" useFirstPageNumber="1" r:id="rId1"/>
  <headerFooter alignWithMargins="0">
    <oddFooter xml:space="preserve">&amp;L&amp;"Arial,Kurzíva"Zastupitelstvo Olomouckého kraje 25. 6. 2018
5. - Rozpočet Olomouckého kraje 2017 - závěrečný účet
Příloha č. 8: Přehled financování oprav a investic v roce 2017&amp;R&amp;"Arial,Kurzíva"Strana &amp;P (celkem 478)
</oddFooter>
  </headerFooter>
  <rowBreaks count="1" manualBreakCount="1">
    <brk id="27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rekapitulace</vt:lpstr>
      <vt:lpstr>8a) OK 2017</vt:lpstr>
      <vt:lpstr>8b) Projekty spolufinancované</vt:lpstr>
      <vt:lpstr>8c) SMN</vt:lpstr>
      <vt:lpstr>'8a) OK 2017'!Oblast_tisku</vt:lpstr>
      <vt:lpstr>'8b) Projekty spolufinancované'!Oblast_tisku</vt:lpstr>
      <vt:lpstr>'8c) SMN'!Oblast_tisku</vt:lpstr>
      <vt:lpstr>rekapitulace!Oblast_tisku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benesova</dc:creator>
  <cp:lastModifiedBy>Balabuch Petr</cp:lastModifiedBy>
  <cp:lastPrinted>2018-05-23T07:23:46Z</cp:lastPrinted>
  <dcterms:created xsi:type="dcterms:W3CDTF">2010-08-09T11:30:13Z</dcterms:created>
  <dcterms:modified xsi:type="dcterms:W3CDTF">2018-05-30T11:54:10Z</dcterms:modified>
</cp:coreProperties>
</file>