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7\ZOK 25.6.2018\"/>
    </mc:Choice>
  </mc:AlternateContent>
  <bookViews>
    <workbookView xWindow="165" yWindow="0" windowWidth="9720" windowHeight="6690" tabRatio="609" activeTab="1"/>
  </bookViews>
  <sheets>
    <sheet name="Rekap " sheetId="11" r:id="rId1"/>
    <sheet name="Příjmy" sheetId="13" r:id="rId2"/>
    <sheet name="List1" sheetId="14" state="hidden" r:id="rId3"/>
  </sheets>
  <definedNames>
    <definedName name="_xlnm._FilterDatabase" localSheetId="1" hidden="1">Příjmy!$C$1:$C$471</definedName>
    <definedName name="_xlnm.Print_Titles" localSheetId="0">'Rekap '!$4:$5</definedName>
    <definedName name="_xlnm.Print_Area" localSheetId="1">Příjmy!$A$1:$I$449</definedName>
    <definedName name="_xlnm.Print_Area" localSheetId="0">'Rekap '!$A$1:$E$39</definedName>
  </definedNames>
  <calcPr calcId="162913"/>
</workbook>
</file>

<file path=xl/calcChain.xml><?xml version="1.0" encoding="utf-8"?>
<calcChain xmlns="http://schemas.openxmlformats.org/spreadsheetml/2006/main">
  <c r="H462" i="13" l="1"/>
  <c r="L441" i="13"/>
  <c r="M441" i="13"/>
  <c r="K441" i="13"/>
  <c r="K438" i="13"/>
  <c r="L438" i="13"/>
  <c r="M438" i="13"/>
  <c r="K390" i="13"/>
  <c r="L390" i="13"/>
  <c r="M390" i="13"/>
  <c r="K186" i="13"/>
  <c r="L186" i="13"/>
  <c r="M186" i="13"/>
  <c r="K86" i="13"/>
  <c r="L86" i="13"/>
  <c r="M86" i="13"/>
  <c r="G462" i="13" l="1"/>
  <c r="F462" i="13"/>
  <c r="G464" i="13"/>
  <c r="H464" i="13"/>
  <c r="F464" i="13"/>
  <c r="G463" i="13" l="1"/>
  <c r="H463" i="13"/>
  <c r="H186" i="13" l="1"/>
  <c r="F99" i="13"/>
  <c r="G441" i="13" l="1"/>
  <c r="F441" i="13"/>
  <c r="G438" i="13"/>
  <c r="H438" i="13"/>
  <c r="F438" i="13"/>
  <c r="G425" i="13"/>
  <c r="F425" i="13"/>
  <c r="G424" i="13"/>
  <c r="H424" i="13"/>
  <c r="F424" i="13"/>
  <c r="G257" i="13"/>
  <c r="H257" i="13"/>
  <c r="F257" i="13"/>
  <c r="R399" i="13" l="1"/>
  <c r="S399" i="13"/>
  <c r="M455" i="13" l="1"/>
  <c r="M442" i="13"/>
  <c r="H442" i="13"/>
  <c r="G348" i="13"/>
  <c r="H348" i="13"/>
  <c r="F348" i="13"/>
  <c r="F314" i="13"/>
  <c r="F300" i="13"/>
  <c r="H32" i="11" l="1"/>
  <c r="H461" i="13" l="1"/>
  <c r="L455" i="13" l="1"/>
  <c r="K455" i="13"/>
  <c r="M454" i="13"/>
  <c r="M95" i="13"/>
  <c r="L454" i="13"/>
  <c r="G461" i="13" l="1"/>
  <c r="F461" i="13"/>
  <c r="F463" i="13" l="1"/>
  <c r="H457" i="13" l="1"/>
  <c r="O95" i="13"/>
  <c r="M96" i="13" s="1"/>
  <c r="G418" i="13" l="1"/>
  <c r="H418" i="13"/>
  <c r="F418" i="13"/>
  <c r="I421" i="13"/>
  <c r="H420" i="13"/>
  <c r="G420" i="13"/>
  <c r="F420" i="13"/>
  <c r="I419" i="13"/>
  <c r="G410" i="13"/>
  <c r="H410" i="13"/>
  <c r="F410" i="13"/>
  <c r="F413" i="13"/>
  <c r="G413" i="13"/>
  <c r="H413" i="13"/>
  <c r="I392" i="13"/>
  <c r="G388" i="13"/>
  <c r="H388" i="13"/>
  <c r="F388" i="13"/>
  <c r="F417" i="13" l="1"/>
  <c r="H417" i="13"/>
  <c r="I424" i="13"/>
  <c r="G417" i="13"/>
  <c r="I418" i="13"/>
  <c r="I420" i="13"/>
  <c r="I413" i="13"/>
  <c r="I353" i="13"/>
  <c r="I354" i="13"/>
  <c r="G352" i="13"/>
  <c r="H352" i="13"/>
  <c r="F352" i="13"/>
  <c r="H349" i="13"/>
  <c r="F349" i="13"/>
  <c r="G349" i="13"/>
  <c r="I311" i="13"/>
  <c r="H306" i="13"/>
  <c r="G306" i="13"/>
  <c r="I309" i="13"/>
  <c r="I308" i="13"/>
  <c r="I304" i="13"/>
  <c r="I305" i="13"/>
  <c r="H303" i="13"/>
  <c r="G303" i="13"/>
  <c r="H286" i="13"/>
  <c r="G286" i="13"/>
  <c r="I298" i="13"/>
  <c r="I295" i="13"/>
  <c r="I294" i="13"/>
  <c r="H293" i="13"/>
  <c r="G293" i="13"/>
  <c r="I288" i="13"/>
  <c r="I285" i="13"/>
  <c r="G284" i="13"/>
  <c r="H284" i="13"/>
  <c r="F284" i="13"/>
  <c r="I277" i="13"/>
  <c r="G279" i="13"/>
  <c r="H279" i="13"/>
  <c r="F279" i="13"/>
  <c r="G271" i="13"/>
  <c r="H271" i="13"/>
  <c r="F271" i="13"/>
  <c r="I263" i="13"/>
  <c r="I249" i="13"/>
  <c r="I248" i="13"/>
  <c r="I247" i="13"/>
  <c r="I245" i="13"/>
  <c r="G227" i="13"/>
  <c r="H227" i="13"/>
  <c r="F227" i="13"/>
  <c r="I225" i="13"/>
  <c r="I226" i="13"/>
  <c r="I228" i="13"/>
  <c r="I229" i="13"/>
  <c r="G224" i="13"/>
  <c r="H224" i="13"/>
  <c r="F224" i="13"/>
  <c r="G215" i="13"/>
  <c r="H215" i="13"/>
  <c r="F215" i="13"/>
  <c r="F203" i="13"/>
  <c r="G300" i="13" l="1"/>
  <c r="H314" i="13"/>
  <c r="H356" i="13"/>
  <c r="G356" i="13"/>
  <c r="G314" i="13"/>
  <c r="F356" i="13"/>
  <c r="H300" i="13"/>
  <c r="H425" i="13" s="1"/>
  <c r="H441" i="13" s="1"/>
  <c r="F235" i="13"/>
  <c r="I352" i="13"/>
  <c r="I293" i="13"/>
  <c r="H235" i="13"/>
  <c r="I227" i="13"/>
  <c r="G235" i="13"/>
  <c r="I224" i="13"/>
  <c r="H126" i="13"/>
  <c r="I183" i="13"/>
  <c r="I181" i="13"/>
  <c r="I178" i="13"/>
  <c r="I170" i="13"/>
  <c r="I171" i="13"/>
  <c r="I172" i="13"/>
  <c r="G169" i="13"/>
  <c r="H169" i="13"/>
  <c r="F169" i="13"/>
  <c r="G126" i="13"/>
  <c r="F126" i="13"/>
  <c r="I150" i="13"/>
  <c r="I149" i="13"/>
  <c r="G124" i="13"/>
  <c r="H124" i="13"/>
  <c r="F124" i="13"/>
  <c r="I113" i="13"/>
  <c r="I111" i="13"/>
  <c r="I105" i="13"/>
  <c r="G103" i="13"/>
  <c r="G112" i="13" s="1"/>
  <c r="H103" i="13"/>
  <c r="H112" i="13" s="1"/>
  <c r="F103" i="13"/>
  <c r="F112" i="13" s="1"/>
  <c r="F185" i="13" l="1"/>
  <c r="F186" i="13" s="1"/>
  <c r="H185" i="13"/>
  <c r="G185" i="13"/>
  <c r="G186" i="13" s="1"/>
  <c r="I103" i="13"/>
  <c r="F78" i="13"/>
  <c r="I88" i="13"/>
  <c r="G52" i="13"/>
  <c r="H52" i="13"/>
  <c r="F52" i="13"/>
  <c r="I72" i="13"/>
  <c r="I66" i="13"/>
  <c r="I41" i="13"/>
  <c r="G39" i="13"/>
  <c r="H39" i="13"/>
  <c r="F39" i="13"/>
  <c r="I40" i="13"/>
  <c r="I33" i="13"/>
  <c r="H23" i="13" l="1"/>
  <c r="I23" i="13" l="1"/>
  <c r="I442" i="13" l="1"/>
  <c r="H242" i="13"/>
  <c r="H250" i="13" s="1"/>
  <c r="D15" i="11"/>
  <c r="J32" i="11" l="1"/>
  <c r="H471" i="13" l="1"/>
  <c r="G377" i="13" l="1"/>
  <c r="H377" i="13"/>
  <c r="F377" i="13"/>
  <c r="H433" i="13"/>
  <c r="H452" i="13" s="1"/>
  <c r="I435" i="13"/>
  <c r="I414" i="13"/>
  <c r="I406" i="13"/>
  <c r="I407" i="13"/>
  <c r="G405" i="13"/>
  <c r="G409" i="13" s="1"/>
  <c r="H405" i="13"/>
  <c r="H409" i="13" s="1"/>
  <c r="F405" i="13"/>
  <c r="F409" i="13" s="1"/>
  <c r="G393" i="13"/>
  <c r="G399" i="13" s="1"/>
  <c r="H393" i="13"/>
  <c r="H399" i="13" s="1"/>
  <c r="F393" i="13"/>
  <c r="F399" i="13" s="1"/>
  <c r="I390" i="13"/>
  <c r="I391" i="13"/>
  <c r="Q397" i="13"/>
  <c r="S397" i="13"/>
  <c r="K452" i="13"/>
  <c r="G367" i="13"/>
  <c r="H367" i="13"/>
  <c r="F367" i="13"/>
  <c r="G362" i="13"/>
  <c r="H362" i="13"/>
  <c r="F362" i="13"/>
  <c r="I345" i="13"/>
  <c r="G333" i="13"/>
  <c r="H333" i="13"/>
  <c r="F333" i="13"/>
  <c r="I331" i="13"/>
  <c r="I332" i="13"/>
  <c r="I330" i="13"/>
  <c r="G329" i="13"/>
  <c r="H329" i="13"/>
  <c r="F329" i="13"/>
  <c r="G326" i="13"/>
  <c r="H326" i="13"/>
  <c r="F326" i="13"/>
  <c r="G324" i="13"/>
  <c r="H324" i="13"/>
  <c r="F324" i="13"/>
  <c r="I312" i="13"/>
  <c r="I268" i="13"/>
  <c r="I259" i="13"/>
  <c r="I261" i="13"/>
  <c r="I262" i="13"/>
  <c r="I264" i="13"/>
  <c r="I265" i="13"/>
  <c r="I244" i="13"/>
  <c r="G242" i="13"/>
  <c r="G250" i="13" s="1"/>
  <c r="F242" i="13"/>
  <c r="F250" i="13" s="1"/>
  <c r="F289" i="13" s="1"/>
  <c r="H336" i="13" l="1"/>
  <c r="G336" i="13"/>
  <c r="F336" i="13"/>
  <c r="F455" i="13" s="1"/>
  <c r="I324" i="13"/>
  <c r="I409" i="13"/>
  <c r="I405" i="13"/>
  <c r="I329" i="13"/>
  <c r="I231" i="13"/>
  <c r="O399" i="13" l="1"/>
  <c r="I417" i="13"/>
  <c r="G222" i="13"/>
  <c r="H222" i="13"/>
  <c r="F222" i="13"/>
  <c r="I220" i="13"/>
  <c r="I209" i="13"/>
  <c r="I182" i="13" l="1"/>
  <c r="I179" i="13"/>
  <c r="I175" i="13"/>
  <c r="I176" i="13"/>
  <c r="I169" i="13"/>
  <c r="I173" i="13"/>
  <c r="I168" i="13"/>
  <c r="I167" i="13"/>
  <c r="I166" i="13"/>
  <c r="I160" i="13"/>
  <c r="I153" i="13"/>
  <c r="I119" i="13"/>
  <c r="I92" i="13" l="1"/>
  <c r="G80" i="13"/>
  <c r="H80" i="13"/>
  <c r="F80" i="13"/>
  <c r="I87" i="13"/>
  <c r="I86" i="13"/>
  <c r="I85" i="13"/>
  <c r="I84" i="13"/>
  <c r="I57" i="13"/>
  <c r="I75" i="13"/>
  <c r="I74" i="13"/>
  <c r="I73" i="13"/>
  <c r="I50" i="13"/>
  <c r="I51" i="13"/>
  <c r="G49" i="13"/>
  <c r="H49" i="13"/>
  <c r="F49" i="13"/>
  <c r="I45" i="13"/>
  <c r="I44" i="13"/>
  <c r="G32" i="13"/>
  <c r="H32" i="13"/>
  <c r="F32" i="13"/>
  <c r="I30" i="13"/>
  <c r="I31" i="13"/>
  <c r="G28" i="13"/>
  <c r="H28" i="13"/>
  <c r="F28" i="13"/>
  <c r="I27" i="13"/>
  <c r="I19" i="13"/>
  <c r="I17" i="13"/>
  <c r="G18" i="13"/>
  <c r="H18" i="13"/>
  <c r="F18" i="13"/>
  <c r="I16" i="13"/>
  <c r="H78" i="13"/>
  <c r="G78" i="13"/>
  <c r="G98" i="13" l="1"/>
  <c r="G99" i="13" s="1"/>
  <c r="H98" i="13"/>
  <c r="F98" i="13"/>
  <c r="I80" i="13"/>
  <c r="I49" i="13"/>
  <c r="I32" i="11" l="1"/>
  <c r="K465" i="13" l="1"/>
  <c r="K470" i="13" s="1"/>
  <c r="L471" i="13" l="1"/>
  <c r="K471" i="13"/>
  <c r="K472" i="13" s="1"/>
  <c r="G471" i="13"/>
  <c r="F471" i="13"/>
  <c r="L457" i="13"/>
  <c r="K457" i="13"/>
  <c r="K454" i="13"/>
  <c r="G457" i="13"/>
  <c r="F457" i="13"/>
  <c r="M471" i="13"/>
  <c r="M457" i="13" l="1"/>
  <c r="M464" i="13" s="1"/>
  <c r="G317" i="13"/>
  <c r="H317" i="13"/>
  <c r="G433" i="13"/>
  <c r="F433" i="13"/>
  <c r="F452" i="13" s="1"/>
  <c r="I432" i="13"/>
  <c r="H437" i="13"/>
  <c r="G437" i="13"/>
  <c r="I411" i="13"/>
  <c r="I410" i="13"/>
  <c r="I396" i="13"/>
  <c r="I395" i="13"/>
  <c r="K443" i="13" l="1"/>
  <c r="J27" i="11"/>
  <c r="J29" i="11"/>
  <c r="G453" i="13"/>
  <c r="I365" i="13"/>
  <c r="I360" i="13"/>
  <c r="I357" i="13"/>
  <c r="H321" i="13"/>
  <c r="I106" i="13"/>
  <c r="I91" i="13"/>
  <c r="I303" i="13"/>
  <c r="I302" i="13"/>
  <c r="I301" i="13"/>
  <c r="I287" i="13"/>
  <c r="I286" i="13"/>
  <c r="I251" i="13"/>
  <c r="I266" i="13"/>
  <c r="I254" i="13"/>
  <c r="I241" i="13"/>
  <c r="I240" i="13"/>
  <c r="H239" i="13"/>
  <c r="G239" i="13"/>
  <c r="F239" i="13"/>
  <c r="L443" i="13" l="1"/>
  <c r="I271" i="13"/>
  <c r="I250" i="13"/>
  <c r="I257" i="13"/>
  <c r="I213" i="13"/>
  <c r="I212" i="13"/>
  <c r="I200" i="13"/>
  <c r="I165" i="13" l="1"/>
  <c r="I163" i="13"/>
  <c r="I148" i="13"/>
  <c r="I147" i="13"/>
  <c r="I146" i="13"/>
  <c r="I145" i="13"/>
  <c r="I144" i="13"/>
  <c r="I121" i="13"/>
  <c r="I95" i="13" l="1"/>
  <c r="I83" i="13" l="1"/>
  <c r="I82" i="13"/>
  <c r="I55" i="13"/>
  <c r="I24" i="13" l="1"/>
  <c r="I22" i="13"/>
  <c r="I21" i="13"/>
  <c r="I11" i="11" l="1"/>
  <c r="J11" i="11"/>
  <c r="H11" i="11"/>
  <c r="I10" i="11"/>
  <c r="H10" i="11"/>
  <c r="I13" i="11"/>
  <c r="J13" i="11"/>
  <c r="H13" i="11"/>
  <c r="I12" i="11"/>
  <c r="J12" i="11"/>
  <c r="H12" i="11"/>
  <c r="I37" i="13"/>
  <c r="I36" i="13"/>
  <c r="I35" i="13"/>
  <c r="I34" i="13"/>
  <c r="I29" i="13"/>
  <c r="I26" i="13"/>
  <c r="I25" i="13"/>
  <c r="I14" i="13"/>
  <c r="I11" i="13"/>
  <c r="I10" i="13"/>
  <c r="H14" i="11" l="1"/>
  <c r="I14" i="11"/>
  <c r="I9" i="13"/>
  <c r="I29" i="11" l="1"/>
  <c r="H29" i="11"/>
  <c r="I27" i="11"/>
  <c r="H27" i="11"/>
  <c r="J26" i="11"/>
  <c r="I26" i="11"/>
  <c r="H26" i="11"/>
  <c r="J25" i="11"/>
  <c r="I25" i="11"/>
  <c r="H25" i="11"/>
  <c r="J24" i="11"/>
  <c r="I24" i="11"/>
  <c r="H24" i="11"/>
  <c r="H337" i="13" l="1"/>
  <c r="H341" i="13" s="1"/>
  <c r="M443" i="13" l="1"/>
  <c r="O458" i="13" s="1"/>
  <c r="J10" i="11" l="1"/>
  <c r="J14" i="11" s="1"/>
  <c r="I366" i="13"/>
  <c r="I364" i="13"/>
  <c r="H375" i="13"/>
  <c r="I361" i="13"/>
  <c r="I359" i="13"/>
  <c r="I350" i="13"/>
  <c r="G337" i="13"/>
  <c r="I255" i="13" l="1"/>
  <c r="I238" i="13"/>
  <c r="H195" i="13" l="1"/>
  <c r="G195" i="13"/>
  <c r="I197" i="13"/>
  <c r="I196" i="13"/>
  <c r="I128" i="13"/>
  <c r="I157" i="13"/>
  <c r="I143" i="13"/>
  <c r="I141" i="13"/>
  <c r="I140" i="13"/>
  <c r="I138" i="13"/>
  <c r="I130" i="13"/>
  <c r="I129" i="13"/>
  <c r="H203" i="13" l="1"/>
  <c r="H289" i="13" s="1"/>
  <c r="H465" i="13"/>
  <c r="H470" i="13" s="1"/>
  <c r="G203" i="13"/>
  <c r="G289" i="13" s="1"/>
  <c r="I195" i="13"/>
  <c r="I68" i="13"/>
  <c r="I67" i="13"/>
  <c r="I58" i="13"/>
  <c r="I63" i="13"/>
  <c r="G454" i="13" l="1"/>
  <c r="I18" i="13"/>
  <c r="I28" i="13"/>
  <c r="J15" i="11"/>
  <c r="I15" i="11"/>
  <c r="H15" i="11"/>
  <c r="I351" i="13" l="1"/>
  <c r="I349" i="13" l="1"/>
  <c r="I356" i="13" l="1"/>
  <c r="L465" i="13" l="1"/>
  <c r="L470" i="13" s="1"/>
  <c r="F465" i="13"/>
  <c r="F470" i="13" s="1"/>
  <c r="F472" i="13" l="1"/>
  <c r="I430" i="13"/>
  <c r="I397" i="13"/>
  <c r="I394" i="13"/>
  <c r="I393" i="13"/>
  <c r="I389" i="13"/>
  <c r="I388" i="13"/>
  <c r="I346" i="13"/>
  <c r="I125" i="13"/>
  <c r="I401" i="13" l="1"/>
  <c r="H400" i="13"/>
  <c r="H404" i="13" s="1"/>
  <c r="G400" i="13"/>
  <c r="G404" i="13" s="1"/>
  <c r="I370" i="13"/>
  <c r="I369" i="13"/>
  <c r="G375" i="13"/>
  <c r="I400" i="13" l="1"/>
  <c r="I368" i="13"/>
  <c r="I307" i="13" l="1"/>
  <c r="I139" i="13" l="1"/>
  <c r="I137" i="13"/>
  <c r="I110" i="13"/>
  <c r="B11" i="11" l="1"/>
  <c r="M453" i="13"/>
  <c r="L453" i="13"/>
  <c r="K453" i="13"/>
  <c r="K456" i="13" s="1"/>
  <c r="M452" i="13"/>
  <c r="L452" i="13"/>
  <c r="M456" i="13" l="1"/>
  <c r="M458" i="13" s="1"/>
  <c r="P458" i="13" s="1"/>
  <c r="K458" i="13"/>
  <c r="L456" i="13"/>
  <c r="L458" i="13" s="1"/>
  <c r="H16" i="11"/>
  <c r="I16" i="11"/>
  <c r="J16" i="11"/>
  <c r="J28" i="11" l="1"/>
  <c r="I28" i="11"/>
  <c r="I30" i="11" s="1"/>
  <c r="I33" i="11" s="1"/>
  <c r="H28" i="11"/>
  <c r="H30" i="11" l="1"/>
  <c r="H33" i="11" s="1"/>
  <c r="J30" i="11"/>
  <c r="J33" i="11" s="1"/>
  <c r="H387" i="13"/>
  <c r="G387" i="13"/>
  <c r="I384" i="13"/>
  <c r="I383" i="13"/>
  <c r="H385" i="13"/>
  <c r="G385" i="13"/>
  <c r="I380" i="13"/>
  <c r="I379" i="13"/>
  <c r="H381" i="13"/>
  <c r="H455" i="13" s="1"/>
  <c r="D11" i="11" l="1"/>
  <c r="Q399" i="13"/>
  <c r="I399" i="13"/>
  <c r="G381" i="13"/>
  <c r="I344" i="13"/>
  <c r="I343" i="13"/>
  <c r="H342" i="13"/>
  <c r="G342" i="13"/>
  <c r="I327" i="13"/>
  <c r="I342" i="13" l="1"/>
  <c r="I326" i="13"/>
  <c r="I325" i="13"/>
  <c r="I323" i="13"/>
  <c r="I322" i="13"/>
  <c r="H453" i="13" l="1"/>
  <c r="I434" i="13"/>
  <c r="I159" i="13" l="1"/>
  <c r="I109" i="13" l="1"/>
  <c r="I126" i="13" l="1"/>
  <c r="I60" i="13" l="1"/>
  <c r="D24" i="11" l="1"/>
  <c r="M465" i="13"/>
  <c r="C26" i="11"/>
  <c r="B27" i="11"/>
  <c r="D26" i="11"/>
  <c r="B26" i="11"/>
  <c r="D13" i="11"/>
  <c r="D12" i="11"/>
  <c r="B24" i="11"/>
  <c r="M470" i="13" l="1"/>
  <c r="M472" i="13" s="1"/>
  <c r="E26" i="11"/>
  <c r="C24" i="11"/>
  <c r="E24" i="11" s="1"/>
  <c r="L472" i="13"/>
  <c r="D29" i="11" l="1"/>
  <c r="I222" i="13"/>
  <c r="I136" i="13"/>
  <c r="I135" i="13"/>
  <c r="I133" i="13"/>
  <c r="I215" i="13"/>
  <c r="I124" i="13"/>
  <c r="C29" i="11"/>
  <c r="I112" i="13"/>
  <c r="I77" i="13"/>
  <c r="I76" i="13"/>
  <c r="H8" i="13"/>
  <c r="F8" i="13"/>
  <c r="I310" i="13"/>
  <c r="I237" i="13"/>
  <c r="I234" i="13"/>
  <c r="I230" i="13"/>
  <c r="I221" i="13"/>
  <c r="I210" i="13"/>
  <c r="I204" i="13"/>
  <c r="I201" i="13"/>
  <c r="I184" i="13"/>
  <c r="I164" i="13"/>
  <c r="I161" i="13"/>
  <c r="I131" i="13"/>
  <c r="I132" i="13"/>
  <c r="I151" i="13"/>
  <c r="I152" i="13"/>
  <c r="I154" i="13"/>
  <c r="I155" i="13"/>
  <c r="I156" i="13"/>
  <c r="I158" i="13"/>
  <c r="I115" i="13"/>
  <c r="I94" i="13"/>
  <c r="I71" i="13"/>
  <c r="I70" i="13"/>
  <c r="I62" i="13"/>
  <c r="I64" i="13"/>
  <c r="I42" i="13"/>
  <c r="I46" i="13"/>
  <c r="I47" i="13"/>
  <c r="I38" i="13"/>
  <c r="F437" i="13"/>
  <c r="I314" i="13"/>
  <c r="I79" i="13"/>
  <c r="I69" i="13"/>
  <c r="I48" i="13"/>
  <c r="I53" i="13"/>
  <c r="I81" i="13"/>
  <c r="I114" i="13"/>
  <c r="I127" i="13"/>
  <c r="I216" i="13"/>
  <c r="I223" i="13"/>
  <c r="I297" i="13"/>
  <c r="I306" i="13"/>
  <c r="I334" i="13"/>
  <c r="I338" i="13"/>
  <c r="I339" i="13"/>
  <c r="D21" i="11"/>
  <c r="H454" i="13" l="1"/>
  <c r="H99" i="13"/>
  <c r="F454" i="13"/>
  <c r="B10" i="11" s="1"/>
  <c r="F453" i="13"/>
  <c r="B13" i="11" s="1"/>
  <c r="H472" i="13"/>
  <c r="I32" i="13"/>
  <c r="B12" i="11"/>
  <c r="G452" i="13"/>
  <c r="G465" i="13"/>
  <c r="G341" i="13"/>
  <c r="C13" i="11"/>
  <c r="E13" i="11" s="1"/>
  <c r="I235" i="13"/>
  <c r="I203" i="13"/>
  <c r="E29" i="11"/>
  <c r="I333" i="13"/>
  <c r="I39" i="13"/>
  <c r="I437" i="13"/>
  <c r="I296" i="13"/>
  <c r="I78" i="13"/>
  <c r="I300" i="13"/>
  <c r="I52" i="13"/>
  <c r="I239" i="13"/>
  <c r="I433" i="13"/>
  <c r="I337" i="13"/>
  <c r="C15" i="11"/>
  <c r="B15" i="11"/>
  <c r="B29" i="11"/>
  <c r="G455" i="13" l="1"/>
  <c r="C11" i="11" s="1"/>
  <c r="P399" i="13"/>
  <c r="F443" i="13"/>
  <c r="G470" i="13"/>
  <c r="G472" i="13" s="1"/>
  <c r="D27" i="11"/>
  <c r="C12" i="11"/>
  <c r="E12" i="11" s="1"/>
  <c r="D10" i="11"/>
  <c r="F456" i="13"/>
  <c r="F458" i="13" s="1"/>
  <c r="C27" i="11"/>
  <c r="I341" i="13"/>
  <c r="C10" i="11"/>
  <c r="B25" i="11"/>
  <c r="B28" i="11" s="1"/>
  <c r="B30" i="11" s="1"/>
  <c r="I185" i="13"/>
  <c r="E15" i="11"/>
  <c r="I336" i="13"/>
  <c r="C25" i="11"/>
  <c r="D25" i="11"/>
  <c r="I98" i="13"/>
  <c r="H443" i="13" l="1"/>
  <c r="I441" i="13"/>
  <c r="D14" i="11"/>
  <c r="D16" i="11" s="1"/>
  <c r="E10" i="11"/>
  <c r="E11" i="11"/>
  <c r="H456" i="13"/>
  <c r="H458" i="13" s="1"/>
  <c r="E27" i="11"/>
  <c r="B14" i="11"/>
  <c r="B16" i="11" s="1"/>
  <c r="G456" i="13"/>
  <c r="G458" i="13" s="1"/>
  <c r="G443" i="13"/>
  <c r="C28" i="11"/>
  <c r="C30" i="11" s="1"/>
  <c r="C14" i="11"/>
  <c r="C16" i="11" s="1"/>
  <c r="D28" i="11"/>
  <c r="E25" i="11"/>
  <c r="E16" i="11" l="1"/>
  <c r="E14" i="11"/>
  <c r="D30" i="11"/>
  <c r="E30" i="11" s="1"/>
  <c r="E28" i="11"/>
  <c r="I443" i="13"/>
</calcChain>
</file>

<file path=xl/sharedStrings.xml><?xml version="1.0" encoding="utf-8"?>
<sst xmlns="http://schemas.openxmlformats.org/spreadsheetml/2006/main" count="994" uniqueCount="390">
  <si>
    <t>v tis. Kč</t>
  </si>
  <si>
    <t>Správní poplatky</t>
  </si>
  <si>
    <t>pol.</t>
  </si>
  <si>
    <t>název položky</t>
  </si>
  <si>
    <t>schválený rozp.</t>
  </si>
  <si>
    <t>upravený rozp.</t>
  </si>
  <si>
    <t>Příjmy Olomouckého kraje celkem</t>
  </si>
  <si>
    <t>Daň z přidané hodnoty</t>
  </si>
  <si>
    <t>Příjmy z úroků</t>
  </si>
  <si>
    <t>Přijaté pojistné náhrady</t>
  </si>
  <si>
    <t>§</t>
  </si>
  <si>
    <t>Neidentifikované příjmy</t>
  </si>
  <si>
    <t>Příjmy z prodeje pozemků</t>
  </si>
  <si>
    <t>Přijaté sankční platby</t>
  </si>
  <si>
    <t>skutečnost</t>
  </si>
  <si>
    <t>%</t>
  </si>
  <si>
    <t>Převody z rozpočtových účtů</t>
  </si>
  <si>
    <t>Příjmy z pronájmu pozemků</t>
  </si>
  <si>
    <t>Přijaté nekapitálové příspěvky a náhrady</t>
  </si>
  <si>
    <t>Konsolidace *</t>
  </si>
  <si>
    <t xml:space="preserve">Příjmy Olomouckého kraje                                (po konsolidaci)                </t>
  </si>
  <si>
    <t xml:space="preserve">Daň z příjmů právnických osob </t>
  </si>
  <si>
    <t>* Konsolidace</t>
  </si>
  <si>
    <t>Konsolidace je očištění údajů  rozpočtu a skutečnosti o interní přesuny peněžních prostředků uvnitř organizace mezi jednotlivými účty.</t>
  </si>
  <si>
    <t>Příjmy z pronájmu movitých věcí</t>
  </si>
  <si>
    <t>Převody z ostatních vlastních fondů</t>
  </si>
  <si>
    <t>Příjmy</t>
  </si>
  <si>
    <t>Příjmy celkem</t>
  </si>
  <si>
    <t>Daň z příjmu právnických osob za kraje</t>
  </si>
  <si>
    <t>Ostatní přijaté vratky transferů</t>
  </si>
  <si>
    <t>b) dle druhu příjmů</t>
  </si>
  <si>
    <t>a) dle oblastí příjmů</t>
  </si>
  <si>
    <t xml:space="preserve">Příjmy Olomouckého kraje                           </t>
  </si>
  <si>
    <t>5=4/3</t>
  </si>
  <si>
    <t>Příjmy z pronájmu ostatních nemovitostí a jejich částí</t>
  </si>
  <si>
    <t>Příjmy z fin.vypoř.minulých let mezi krajem a obcemi</t>
  </si>
  <si>
    <t>MŠMT - přímé náklady na vzdělání</t>
  </si>
  <si>
    <t xml:space="preserve">MŠMT - dotace pro soukromé školy </t>
  </si>
  <si>
    <r>
      <t>•</t>
    </r>
    <r>
      <rPr>
        <sz val="11"/>
        <rFont val="Arial CE"/>
        <charset val="238"/>
      </rPr>
      <t xml:space="preserve"> Běžné příjmy Olomouckého kraje</t>
    </r>
  </si>
  <si>
    <r>
      <t>•</t>
    </r>
    <r>
      <rPr>
        <sz val="11"/>
        <rFont val="Arial CE"/>
        <charset val="238"/>
      </rPr>
      <t xml:space="preserve"> Evropské programy</t>
    </r>
  </si>
  <si>
    <r>
      <t>•</t>
    </r>
    <r>
      <rPr>
        <sz val="11"/>
        <rFont val="Arial CE"/>
        <charset val="238"/>
      </rPr>
      <t xml:space="preserve"> Fond sociálních potřeb</t>
    </r>
  </si>
  <si>
    <r>
      <t>•</t>
    </r>
    <r>
      <rPr>
        <sz val="11"/>
        <rFont val="Arial CE"/>
        <charset val="238"/>
      </rPr>
      <t xml:space="preserve"> Fond na podporu výstavby a obnovy vodohospodářské infrastruktury na území Olomouckého kraje</t>
    </r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</si>
  <si>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</si>
  <si>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</si>
  <si>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</si>
  <si>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t>* Konsolidace je očištění údajů o rozpočtu a skutečnosti o interní přesuny peněžních prostředků uvnitř organizace mezi jednotlivými účty.</t>
  </si>
  <si>
    <t>Ostatní příjmy z vlastní činnosti</t>
  </si>
  <si>
    <t>Neinvest.přijaté transfery od region.rad</t>
  </si>
  <si>
    <t>Neinvestiční přijaté transfery ze SF</t>
  </si>
  <si>
    <t>SFŽP - Oper.progr.život.prostř.(2007-2013)-spolufin.-NIV</t>
  </si>
  <si>
    <t>RSSM - ROP RS Střední Morava - NIV - EU</t>
  </si>
  <si>
    <t>MV-neinv.transfery krajům</t>
  </si>
  <si>
    <t>Investiční přijaté transfery od regionálních rad</t>
  </si>
  <si>
    <t>ORJ</t>
  </si>
  <si>
    <t>9=8/7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</si>
  <si>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</si>
  <si>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</si>
  <si>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</si>
  <si>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</si>
  <si>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</si>
  <si>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</si>
  <si>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</si>
  <si>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</si>
  <si>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</si>
  <si>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</si>
  <si>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</si>
  <si>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</si>
  <si>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17</t>
  </si>
  <si>
    <t>32</t>
  </si>
  <si>
    <t>50</t>
  </si>
  <si>
    <t>52</t>
  </si>
  <si>
    <t>58</t>
  </si>
  <si>
    <t>56</t>
  </si>
  <si>
    <t>57</t>
  </si>
  <si>
    <t>59</t>
  </si>
  <si>
    <t>60</t>
  </si>
  <si>
    <t>63</t>
  </si>
  <si>
    <t>a) Příjmy Olomouckého kraje</t>
  </si>
  <si>
    <t>199</t>
  </si>
  <si>
    <t>99</t>
  </si>
  <si>
    <t>Příjmy Olomouckého kraje  celkem  (po konsolidaci)</t>
  </si>
  <si>
    <t>Mezisoučet</t>
  </si>
  <si>
    <t>Ostatní investiční přijaté transfery ze SR</t>
  </si>
  <si>
    <t>Příjmy z poskytování služeb a výrobků</t>
  </si>
  <si>
    <t>Sankční platby přijaté od státu, obcí a krajů</t>
  </si>
  <si>
    <t>Sankční platby přijaté od jiných subjektů</t>
  </si>
  <si>
    <t>MF - Účelové dotace krajům - TBC</t>
  </si>
  <si>
    <t>MK - Veřejné informační služby knihoven - neinvestice</t>
  </si>
  <si>
    <t>Operační program Přeshraniční spolupráce ČR – Polsko</t>
  </si>
  <si>
    <t>MF - Výkupy pozemků pod krajskými komunikacemi</t>
  </si>
  <si>
    <t>Ostatní inv.přijaté transfery ze SR</t>
  </si>
  <si>
    <t>64</t>
  </si>
  <si>
    <t>v Kč</t>
  </si>
  <si>
    <t>01</t>
  </si>
  <si>
    <t>MF - Náhrady škod způsob.vybranými zvl.chráněnými živočichy</t>
  </si>
  <si>
    <t>MF - Účelová dotace krajům na likvidaci léčiv</t>
  </si>
  <si>
    <t>MŠMT - Dotace dvojjazyčným gymnáziím s výukou francouštiny</t>
  </si>
  <si>
    <t>MŠMT - Projekty romské komunity</t>
  </si>
  <si>
    <t>MŠMT - Soutěže</t>
  </si>
  <si>
    <t>30</t>
  </si>
  <si>
    <t>66</t>
  </si>
  <si>
    <t>MŠMT - Počáteční vzdělávání v globál.grantech OP VK, NIV,EU</t>
  </si>
  <si>
    <t>67</t>
  </si>
  <si>
    <t>68</t>
  </si>
  <si>
    <t>69</t>
  </si>
  <si>
    <t>71</t>
  </si>
  <si>
    <t>evropské programy</t>
  </si>
  <si>
    <t>běžné příjmy</t>
  </si>
  <si>
    <t xml:space="preserve">daňové příjmy </t>
  </si>
  <si>
    <t>nedaňové příjmy</t>
  </si>
  <si>
    <t>kapitálové příjmy</t>
  </si>
  <si>
    <t>přijaté dotace</t>
  </si>
  <si>
    <t>sociální fond</t>
  </si>
  <si>
    <t>fond - voda</t>
  </si>
  <si>
    <t>MŠMT - Excelence středních škol</t>
  </si>
  <si>
    <t>MŠMT - GG OP VK v oblasti dalšího vzdělávání - investice</t>
  </si>
  <si>
    <t>MŠMT - Individuální projekt ostatní OP VK - neinvestice - EU</t>
  </si>
  <si>
    <t>MŠMT - Technická pomoc OP VK</t>
  </si>
  <si>
    <t>72</t>
  </si>
  <si>
    <t>73</t>
  </si>
  <si>
    <t>74</t>
  </si>
  <si>
    <t>konsolidace 199</t>
  </si>
  <si>
    <t>financování</t>
  </si>
  <si>
    <t>celkem</t>
  </si>
  <si>
    <t>konsoliace</t>
  </si>
  <si>
    <t>celkem po konsolidaci</t>
  </si>
  <si>
    <t>MPSV - Neinvestiční nedávkové transfery podle zákona č. 108/2006 Sb., o sociálních službách (§ 101, § 102 a § 103)</t>
  </si>
  <si>
    <t>MZdr. - Připravenost poskytovatele ZZS na řešení mimořádných událostí a krizových situací</t>
  </si>
  <si>
    <t>MŠMT - Podpora zavádění diagnostických nástrojů</t>
  </si>
  <si>
    <t>18</t>
  </si>
  <si>
    <t xml:space="preserve">RSSM - ROP RS Střední Morava – IV – EU </t>
  </si>
  <si>
    <t>75</t>
  </si>
  <si>
    <t>ORJ 07 celkem</t>
  </si>
  <si>
    <t>konsolidace</t>
  </si>
  <si>
    <t>položka 5345</t>
  </si>
  <si>
    <t>položka 4134</t>
  </si>
  <si>
    <t>000098074</t>
  </si>
  <si>
    <t>000098278</t>
  </si>
  <si>
    <t>000098297</t>
  </si>
  <si>
    <t>000098335</t>
  </si>
  <si>
    <t>038587505</t>
  </si>
  <si>
    <t>Ostatní odvody PO</t>
  </si>
  <si>
    <t>000004001</t>
  </si>
  <si>
    <t>000013305</t>
  </si>
  <si>
    <t>000013307</t>
  </si>
  <si>
    <t>000014004</t>
  </si>
  <si>
    <t>000027355</t>
  </si>
  <si>
    <t>000034012</t>
  </si>
  <si>
    <t>000034013</t>
  </si>
  <si>
    <t>000034053</t>
  </si>
  <si>
    <t>000034070</t>
  </si>
  <si>
    <t>000035018</t>
  </si>
  <si>
    <t>000098861</t>
  </si>
  <si>
    <t>000029517</t>
  </si>
  <si>
    <t>000007131</t>
  </si>
  <si>
    <t>000033024</t>
  </si>
  <si>
    <t>000033025</t>
  </si>
  <si>
    <t>000033034</t>
  </si>
  <si>
    <t>000033035</t>
  </si>
  <si>
    <t>000033038</t>
  </si>
  <si>
    <t>000033040</t>
  </si>
  <si>
    <t>000033044</t>
  </si>
  <si>
    <t>000033122</t>
  </si>
  <si>
    <t>000033155</t>
  </si>
  <si>
    <t>000033160</t>
  </si>
  <si>
    <t>000033166</t>
  </si>
  <si>
    <t>000033192</t>
  </si>
  <si>
    <t>000033215</t>
  </si>
  <si>
    <t>000033353</t>
  </si>
  <si>
    <t>000033435</t>
  </si>
  <si>
    <t>000033457</t>
  </si>
  <si>
    <t>032133019</t>
  </si>
  <si>
    <t>053190001</t>
  </si>
  <si>
    <t>038587005</t>
  </si>
  <si>
    <t>041595113</t>
  </si>
  <si>
    <t>032133887</t>
  </si>
  <si>
    <t>032533887</t>
  </si>
  <si>
    <t>032133030</t>
  </si>
  <si>
    <t>032533030</t>
  </si>
  <si>
    <t>032133007</t>
  </si>
  <si>
    <t>032533007</t>
  </si>
  <si>
    <t>MF - Účelové dotace na výdaje spojené s volbami do zastupitelstev v obcích</t>
  </si>
  <si>
    <t>Ostatní neinvestiční přijaté transfery  ze SR</t>
  </si>
  <si>
    <t>MK-ISO C Výkupy předmětů-podprogr.č. 134 514-neinvestiční</t>
  </si>
  <si>
    <t>MK-ISO D Prev.ochr.před vlivy prostředí-podprog.č.134 515-neinv.</t>
  </si>
  <si>
    <t>MK - Kulturní aktivity</t>
  </si>
  <si>
    <t>Ostatní neinvestiční přijaté transfery ze SR</t>
  </si>
  <si>
    <t>000029015</t>
  </si>
  <si>
    <t>000029096</t>
  </si>
  <si>
    <t>000033049</t>
  </si>
  <si>
    <t>000033050</t>
  </si>
  <si>
    <t>000033052</t>
  </si>
  <si>
    <t>000033339</t>
  </si>
  <si>
    <t>MŠMT - Podpora odborného vzdělávání</t>
  </si>
  <si>
    <t>MZem. - Příspěvek na podporu ohrožených druhů zvířat</t>
  </si>
  <si>
    <t>MŠMT - Zvýšení platů pracovníků regionálního školství</t>
  </si>
  <si>
    <t>MŠMT - Program podpory vzdělávání národnostních menšin</t>
  </si>
  <si>
    <t>Investiční přijaté transfery od obcí</t>
  </si>
  <si>
    <t>MŠMT - Rozvojový program na podporu školních psychologů, speciálních pedagogů a metodiků - specialistů</t>
  </si>
  <si>
    <t>dle sestavy UCRSB 351</t>
  </si>
  <si>
    <t>000013015</t>
  </si>
  <si>
    <t>MPSV - Příspěvek na výkon sociální práce (s výjimkou sociálně-právní ochrany dětí)</t>
  </si>
  <si>
    <t>000035963</t>
  </si>
  <si>
    <t>000033043</t>
  </si>
  <si>
    <t>MŠMT - Podpora implementace Etické výchovy</t>
  </si>
  <si>
    <t>Investiční přijaté transfery ze státních fondů</t>
  </si>
  <si>
    <t>000091628</t>
  </si>
  <si>
    <t>Financování dopravní infrastruktury - investice</t>
  </si>
  <si>
    <t>19</t>
  </si>
  <si>
    <t>Neinvestiční přijaté transfery od regionálních rad</t>
  </si>
  <si>
    <t>Neinvestiční přijaté transfery od krajů</t>
  </si>
  <si>
    <t>76</t>
  </si>
  <si>
    <t>77</t>
  </si>
  <si>
    <t>106515011</t>
  </si>
  <si>
    <t>MŽP-Operační progr.životní prostř.2014-2020-prostředky EU-NIV</t>
  </si>
  <si>
    <t>Rekapitulace celkových příjmů Olomouckého kraje, které zahrnují  příjmy běžné (daňové, nedaňové, kapitálové) a přijaté účelové dotace ze státního rozpočtu.</t>
  </si>
  <si>
    <r>
      <t>•</t>
    </r>
    <r>
      <rPr>
        <sz val="11"/>
        <rFont val="Arial CE"/>
        <charset val="238"/>
      </rPr>
      <t xml:space="preserve"> Přijaté transfery</t>
    </r>
  </si>
  <si>
    <t>000000021</t>
  </si>
  <si>
    <t>Ostatní příjmy z prodeje dlouhodobého majetku</t>
  </si>
  <si>
    <t>000098193</t>
  </si>
  <si>
    <t>000090105</t>
  </si>
  <si>
    <t>SFŽP - Nakládání s odpady</t>
  </si>
  <si>
    <t>000090190</t>
  </si>
  <si>
    <t>SFŽP - Doplatky - neinvestice</t>
  </si>
  <si>
    <t>000004428</t>
  </si>
  <si>
    <t>ÚV ČR - Podpora koordinátorů romských poradců</t>
  </si>
  <si>
    <t>ÚV ČR - Podpora terénní sociální práce</t>
  </si>
  <si>
    <t>000013016</t>
  </si>
  <si>
    <t>MPSV - Dotace na podporu samosprávy v oblasti stárnutí</t>
  </si>
  <si>
    <t>060135008</t>
  </si>
  <si>
    <t>060535009</t>
  </si>
  <si>
    <t>104113013</t>
  </si>
  <si>
    <t>104513013</t>
  </si>
  <si>
    <t>MZdr. - Program švýcarsko-české spolupráce-program č. 13532P – SR – NIV</t>
  </si>
  <si>
    <t>MZdr. - Připravenost poskytovatele ZZS na řešení mimořádných událostí a krizových situací - program č. 235210 - IV</t>
  </si>
  <si>
    <t>060135892</t>
  </si>
  <si>
    <t>MZdr. - Program švýcarsko-české spolupráce – program č. 13532P – SR – INV</t>
  </si>
  <si>
    <t>060535893</t>
  </si>
  <si>
    <t>MZdr. - Program švýcarsko-české spolupráce – program č. 13532P – Jiné zdroje EU – INV</t>
  </si>
  <si>
    <t>000000022</t>
  </si>
  <si>
    <t>000000023</t>
  </si>
  <si>
    <t>000000305</t>
  </si>
  <si>
    <t>ORJ 07/5345</t>
  </si>
  <si>
    <t>vše/pol.5345</t>
  </si>
  <si>
    <t>ORJ 07/pol.4134</t>
  </si>
  <si>
    <t>000000411</t>
  </si>
  <si>
    <t>Splátky půjč. prostředků od obecně prosp. spol. a podobných subjektů</t>
  </si>
  <si>
    <t>000033064</t>
  </si>
  <si>
    <t>MŠMT - Naplňování Koncepce podpory mládeže na krajské úrovni</t>
  </si>
  <si>
    <t>000033065</t>
  </si>
  <si>
    <t>MŠMT - Excelence základních škol</t>
  </si>
  <si>
    <t>000033069</t>
  </si>
  <si>
    <t>MŠMT - Podpora navýšení kapacit ve školských poradenských zařízeních</t>
  </si>
  <si>
    <t>000033163</t>
  </si>
  <si>
    <t>MŠMT - Program protidrogové politiky</t>
  </si>
  <si>
    <t>MK - ISO D Preventivní ochrana před vlivy prostředí - podprogram č. 134 515 - neinvestiční</t>
  </si>
  <si>
    <t>000034017</t>
  </si>
  <si>
    <t>MK - 5060010011 Podpora standardizovaných veřejných služeb muzeí a galerií</t>
  </si>
  <si>
    <t>103133063</t>
  </si>
  <si>
    <t>MŠMT - OP VVV - PO3 neinvestice</t>
  </si>
  <si>
    <t>103533063</t>
  </si>
  <si>
    <t>000034940</t>
  </si>
  <si>
    <t>MK - ISO A Zabezpečení objektů - podprogram č. 134 512 - investiční</t>
  </si>
  <si>
    <t>000000515</t>
  </si>
  <si>
    <t>000000556</t>
  </si>
  <si>
    <t>000000015</t>
  </si>
  <si>
    <t>000000012</t>
  </si>
  <si>
    <t>000000410</t>
  </si>
  <si>
    <t>000000010</t>
  </si>
  <si>
    <t>000000013</t>
  </si>
  <si>
    <t>000000302</t>
  </si>
  <si>
    <t>000000306</t>
  </si>
  <si>
    <t>Odvody příspěvkových organizací</t>
  </si>
  <si>
    <t>Ostatní odvody příspěvkových organizací</t>
  </si>
  <si>
    <t>000000304</t>
  </si>
  <si>
    <t>20</t>
  </si>
  <si>
    <t>000035672</t>
  </si>
  <si>
    <t>MZdr. - Podpora rozvoje a obnovy mat. tech. základny regionálního zdravotnictví– program č. 235 210 - investice</t>
  </si>
  <si>
    <t>036517871</t>
  </si>
  <si>
    <t>MMR - Integrovaný operační program – program č. 117 110 – EU – IV</t>
  </si>
  <si>
    <t>MPSV - Operační program Zaměstnanost</t>
  </si>
  <si>
    <t>109117017</t>
  </si>
  <si>
    <t>109517018</t>
  </si>
  <si>
    <t>MMR - OPTP - 2014+ - Operační program TP 2014+ - program č. 117040 - SR - NIV</t>
  </si>
  <si>
    <t>MMR - OPTP - 2014+ - Operační program TP 2014+ - program č. 117040 - EU - NIV</t>
  </si>
  <si>
    <t>106515974</t>
  </si>
  <si>
    <t>MŽP - Operační program životní prostředí 2014 - 2020 - program č. 115310 - prostředky EU - investice</t>
  </si>
  <si>
    <t>Příjmy z prodeje ost. hmot. dlouhodob. majetku</t>
  </si>
  <si>
    <t>Příjmy z fin. vypoř. minulých let mezi krajem a obcemi</t>
  </si>
  <si>
    <t>Příjmy z prodeje ost. nemovit. a jejich částí</t>
  </si>
  <si>
    <t>MZdr. - Program švýcarsko-české spolupráce – program č. 13532P – Jiné zdroje EU – NIV</t>
  </si>
  <si>
    <t>schválený rozpočet</t>
  </si>
  <si>
    <t>upravený rozpočet</t>
  </si>
  <si>
    <t>Kursové rozdíly v příjmech</t>
  </si>
  <si>
    <t>MOČR - neinvestiční transfery na provoz škol</t>
  </si>
  <si>
    <t>Mzem. - Příspěvek na ekolog. a k přírodě šetrné technologie</t>
  </si>
  <si>
    <t>MŠMT - rozvoj. progr. MŠMT pro děti - cizince ze 3. zemí</t>
  </si>
  <si>
    <t>MŠMT - Vybavení škol pomůckami kompenzačního a rehab. char.</t>
  </si>
  <si>
    <t>MŠMT - Podpora organizace a ukonč. středního vzděl. maturitní zkouškou</t>
  </si>
  <si>
    <t>MŠMT - Rozvoj. progr. Podpora logoped. prevence v předšk. vzděl.</t>
  </si>
  <si>
    <t>MŠMT - spolupráce s fr.,vlámskými a šp. školami</t>
  </si>
  <si>
    <t>MŠMT - Bezpl. přípr. dětí azylantů, účastníků řízení o azyl a dětí osob se st. přísl. jiného čl. st. EU k začlenění do zákl. vzdělávání</t>
  </si>
  <si>
    <t xml:space="preserve">MŠMT - Asistenti ped. pro děti, žáky a studenty se soc. znevýh. </t>
  </si>
  <si>
    <t>Přijaté neinvestiční dary</t>
  </si>
  <si>
    <t>Splátky půjčených prostř. od obecně prospěš. spol. a pod. subjektů</t>
  </si>
  <si>
    <t>MD - Příspěvek na ztrátu dopravce z provozu veřejné osobní drážní dopravy</t>
  </si>
  <si>
    <t>Neinvestiční přijaté transfery ze SR v rámci SDV</t>
  </si>
  <si>
    <t>Neinvestiční přijaté transfery ze státních fondů</t>
  </si>
  <si>
    <t>MF - Účelové dotace na výdaje spojené se společnými volbami do Senátu a zastupitelstev krajů</t>
  </si>
  <si>
    <t>MPSV - Transfery na státní příspěvek zřizovatelům zařízení pro děti vyžadující okamžitou pomoc</t>
  </si>
  <si>
    <t xml:space="preserve">UZ </t>
  </si>
  <si>
    <t>MŠMT - asistenti pedag. v soukr. a církevních spec. školách</t>
  </si>
  <si>
    <t>000033354</t>
  </si>
  <si>
    <t>MŠMT - Přímé náklady na vzdělávání - sportovní gymnázia začlenění do zákl. vzdělávání</t>
  </si>
  <si>
    <t>UZ</t>
  </si>
  <si>
    <t>2. Plnění rozpočtu příjmů Olomouckého kraje k 31.12.2017</t>
  </si>
  <si>
    <t>000098008</t>
  </si>
  <si>
    <t>000098071</t>
  </si>
  <si>
    <t>MF - Účelové dotace na výdaje spojené s volbou prezidenta ČR</t>
  </si>
  <si>
    <t>MF - Účelové dotace na výdaje spojené s volbami do Parlamentu České republiky</t>
  </si>
  <si>
    <t>000014032</t>
  </si>
  <si>
    <t xml:space="preserve">MV - Program prevence kriminality na místní úrovni - program č. 314080 - neinvestice  </t>
  </si>
  <si>
    <t>000029009</t>
  </si>
  <si>
    <t>MZ - Meliorace a hrazení bystřin v lesích podle § 35 odst. 1 a 3 lesního zákona</t>
  </si>
  <si>
    <t>000035020</t>
  </si>
  <si>
    <t>MZdr. - Zvláštní příplatek za směny - nelékařská zdravotnická povolání bez odborného dohledu</t>
  </si>
  <si>
    <t>000000000</t>
  </si>
  <si>
    <t>MZ - Meliorace a hrazení bystřin v lesích podle § 35 odst. 1 a 3 lesního zákona (investice)</t>
  </si>
  <si>
    <t>107117968</t>
  </si>
  <si>
    <t>MMR - IROP - Integrovaný regionální OP - program č. 117030 - SR - INV</t>
  </si>
  <si>
    <t>107517969</t>
  </si>
  <si>
    <t>MMR - IROP - Integrovaný regionální OP - program č. 117030 - EU - INV</t>
  </si>
  <si>
    <t>000000883</t>
  </si>
  <si>
    <t>Individuální žádosti</t>
  </si>
  <si>
    <t>Program návratné finanční výpomoci MAS se sídlem na území Olomouckého kraje</t>
  </si>
  <si>
    <t>000000170</t>
  </si>
  <si>
    <t>Ostatní nedaňové příjmy jinde nezařazené</t>
  </si>
  <si>
    <t>000029014</t>
  </si>
  <si>
    <t>Mzem. - Příspěvek na obnovu, zajištění a výchovu porostů, podle písm. B pravidel</t>
  </si>
  <si>
    <t>000033070</t>
  </si>
  <si>
    <t>MŠMT - Podpora výuky plavání v ZŠ</t>
  </si>
  <si>
    <t>000033071</t>
  </si>
  <si>
    <t>MŠMT - Vzdělávací programy paměťových institucí do škol</t>
  </si>
  <si>
    <t>000033073</t>
  </si>
  <si>
    <t>MŠMT - Zvýšení platů nepedagogických zaměstnanců RgŠ</t>
  </si>
  <si>
    <t>MŠMT - Program sociální prevence a prevence kriminality</t>
  </si>
  <si>
    <t>MK - ISO C Výkupy předmětů - podprogram č. 134 514 - neinvestiční</t>
  </si>
  <si>
    <t>000029501</t>
  </si>
  <si>
    <t>Mzem. - Centra odborné přípravy - program č. 129710</t>
  </si>
  <si>
    <t>103133982</t>
  </si>
  <si>
    <t>MŠMT - OP VVV - PO3 investice</t>
  </si>
  <si>
    <t>103533982</t>
  </si>
  <si>
    <t>Ostatní investiční přijaté tranfery ze SR</t>
  </si>
  <si>
    <t>MZdr. - Program švýcarsko-české spolupráce – program č. 13532P – SR – NIV</t>
  </si>
  <si>
    <t>000000300</t>
  </si>
  <si>
    <t>Ostatní odvody přebytků organizací s přímým vztahem</t>
  </si>
  <si>
    <t>Neinvestiční přijaté tranfery od obcí</t>
  </si>
  <si>
    <t>110595823</t>
  </si>
  <si>
    <t>Investiční převody z Národního fondu</t>
  </si>
  <si>
    <t>SF - Program přeshraniční spolupráce ČR – Polsko – IV</t>
  </si>
  <si>
    <t>107117015</t>
  </si>
  <si>
    <t>107517016</t>
  </si>
  <si>
    <t>MMR - IROP - Integrovaný regionální OP - program č. 117030 - SR - NIV</t>
  </si>
  <si>
    <t>MMR - IROP - Integrovaný regionální OP - program č. 117030 - EU - NIV</t>
  </si>
  <si>
    <t>000017055</t>
  </si>
  <si>
    <t>MMR - Marketingové aktivity v cestovním ruchu - podprogram č. 117D72200 - NEINV</t>
  </si>
  <si>
    <t>ORJ 30-78</t>
  </si>
  <si>
    <t>103533062</t>
  </si>
  <si>
    <t>MŠMT - OP VVV - PO2 neinvestice</t>
  </si>
  <si>
    <t>110117051</t>
  </si>
  <si>
    <t>MMR - Programy přeshraniční spolupráce 2014+ - NIV - SR</t>
  </si>
  <si>
    <t>110595113</t>
  </si>
  <si>
    <t>SF - Program přeshraniční spolupráce ČR – Polsko – NIV</t>
  </si>
  <si>
    <t>MŽP-Operační program životní prostředí 2014 - 2020 - program č. 115310 - prostředky EU - investice</t>
  </si>
  <si>
    <t>78</t>
  </si>
  <si>
    <t>Neindetifikované příjmy</t>
  </si>
  <si>
    <t>celkem ORJ 30-78 včetně konsolidace</t>
  </si>
  <si>
    <t>konsolidace ORJ 30-78, pol.4134</t>
  </si>
  <si>
    <t>konsolidace 30-78</t>
  </si>
  <si>
    <t>konsolidace 30-78,10,11</t>
  </si>
  <si>
    <t xml:space="preserve">Daň z příjmů fyzických osob placená plátci </t>
  </si>
  <si>
    <t>Daň z příjmů fyzických osob placená poplatníky</t>
  </si>
  <si>
    <t xml:space="preserve">Daň z příjmů fyzických osob vybíraná srážkou </t>
  </si>
  <si>
    <t xml:space="preserve">Neinvestiční přijaté transfery z VPS státního rozpočtu </t>
  </si>
  <si>
    <t>Poplatky za znečišťování ovzduší</t>
  </si>
  <si>
    <t>Neinvestční přijaté transfery z Národního fondu</t>
  </si>
  <si>
    <t>Platby za odebrané množství podzemní vody a za správu vodních toků</t>
  </si>
  <si>
    <t>Příjmy z prodeje krátk. a drobného dlouhodob. majetku</t>
  </si>
  <si>
    <t>Investiční přijaté transfery z VPS SR</t>
  </si>
  <si>
    <t>Neinvestiční přijaté transfery od obcí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</si>
</sst>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00,000"/>
    <numFmt numFmtId="167" formatCode="0\6\5\1\7\7\7\8"/>
  </numFmts>
  <fonts count="69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b/>
      <sz val="18"/>
      <name val="Arial CE"/>
      <family val="2"/>
      <charset val="238"/>
    </font>
    <font>
      <b/>
      <sz val="13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9"/>
      <name val="Arial CE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11"/>
      <name val="Arial CE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 CE"/>
      <charset val="238"/>
    </font>
    <font>
      <sz val="10"/>
      <name val="Arial"/>
      <family val="2"/>
      <charset val="238"/>
    </font>
    <font>
      <sz val="11"/>
      <color indexed="10"/>
      <name val="Arial CE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name val="Arial CE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  <font>
      <sz val="8"/>
      <color indexed="9"/>
      <name val="Arial CE"/>
      <charset val="238"/>
    </font>
    <font>
      <sz val="12"/>
      <color indexed="9"/>
      <name val="Arial CE"/>
      <charset val="238"/>
    </font>
    <font>
      <sz val="10"/>
      <color rgb="FFFF0000"/>
      <name val="Arial CE"/>
      <charset val="238"/>
    </font>
    <font>
      <sz val="8"/>
      <color rgb="FFFF0000"/>
      <name val="Arial CE"/>
      <charset val="238"/>
    </font>
    <font>
      <sz val="12"/>
      <color rgb="FFFF0000"/>
      <name val="Arial CE"/>
      <charset val="238"/>
    </font>
    <font>
      <i/>
      <sz val="8"/>
      <name val="Arial CE"/>
      <family val="2"/>
      <charset val="238"/>
    </font>
    <font>
      <sz val="10"/>
      <color rgb="FFFF00FF"/>
      <name val="Arial CE"/>
      <charset val="238"/>
    </font>
    <font>
      <b/>
      <sz val="8"/>
      <name val="Arial CE"/>
      <charset val="238"/>
    </font>
    <font>
      <i/>
      <sz val="10"/>
      <name val="Arial CE"/>
      <charset val="238"/>
    </font>
    <font>
      <b/>
      <i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name val="Arial CE"/>
      <family val="2"/>
      <charset val="238"/>
    </font>
    <font>
      <b/>
      <sz val="14"/>
      <name val="Arial CE"/>
      <charset val="238"/>
    </font>
    <font>
      <sz val="7.5"/>
      <name val="Arial CE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 CE"/>
      <family val="2"/>
      <charset val="238"/>
    </font>
    <font>
      <b/>
      <i/>
      <sz val="8"/>
      <color rgb="FFFF0000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sz val="8"/>
      <color rgb="FFFF00FF"/>
      <name val="Arial CE"/>
      <family val="2"/>
      <charset val="238"/>
    </font>
    <font>
      <sz val="11"/>
      <color rgb="FFFF0000"/>
      <name val="Arial CE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2"/>
      <color rgb="FFFF0000"/>
      <name val="Arial CE"/>
      <family val="2"/>
      <charset val="238"/>
    </font>
    <font>
      <sz val="8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sz val="11"/>
      <color theme="0"/>
      <name val="Arial CE"/>
      <family val="2"/>
      <charset val="238"/>
    </font>
    <font>
      <b/>
      <i/>
      <sz val="11"/>
      <color theme="0"/>
      <name val="Arial CE"/>
      <family val="2"/>
      <charset val="238"/>
    </font>
    <font>
      <b/>
      <i/>
      <sz val="11"/>
      <color theme="0"/>
      <name val="Arial"/>
      <family val="2"/>
      <charset val="238"/>
    </font>
    <font>
      <sz val="9"/>
      <color theme="0"/>
      <name val="Arial CE"/>
      <charset val="238"/>
    </font>
    <font>
      <b/>
      <sz val="11"/>
      <color theme="0"/>
      <name val="Arial CE"/>
      <charset val="238"/>
    </font>
    <font>
      <sz val="9"/>
      <color rgb="FFFF0000"/>
      <name val="Arial CE"/>
      <charset val="238"/>
    </font>
    <font>
      <b/>
      <sz val="8"/>
      <color rgb="FFFF0000"/>
      <name val="Arial CE"/>
      <charset val="238"/>
    </font>
    <font>
      <sz val="10"/>
      <color theme="0"/>
      <name val="Arial CE"/>
      <charset val="238"/>
    </font>
    <font>
      <b/>
      <i/>
      <sz val="11"/>
      <color theme="0"/>
      <name val="Arial CE"/>
      <charset val="238"/>
    </font>
    <font>
      <sz val="11"/>
      <color theme="0"/>
      <name val="Arial CE"/>
      <charset val="238"/>
    </font>
    <font>
      <sz val="9"/>
      <color theme="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689">
    <xf numFmtId="3" fontId="0" fillId="0" borderId="0" xfId="0"/>
    <xf numFmtId="165" fontId="9" fillId="0" borderId="2" xfId="0" applyNumberFormat="1" applyFont="1" applyFill="1" applyBorder="1"/>
    <xf numFmtId="3" fontId="9" fillId="0" borderId="0" xfId="0" applyFont="1" applyFill="1" applyBorder="1"/>
    <xf numFmtId="3" fontId="18" fillId="0" borderId="0" xfId="0" applyFont="1" applyFill="1"/>
    <xf numFmtId="3" fontId="0" fillId="0" borderId="0" xfId="0" applyFill="1"/>
    <xf numFmtId="3" fontId="12" fillId="0" borderId="0" xfId="0" applyFont="1" applyFill="1"/>
    <xf numFmtId="3" fontId="0" fillId="0" borderId="0" xfId="0" applyFill="1" applyAlignment="1">
      <alignment horizontal="right"/>
    </xf>
    <xf numFmtId="3" fontId="2" fillId="0" borderId="4" xfId="0" applyFont="1" applyFill="1" applyBorder="1" applyAlignment="1">
      <alignment horizontal="center"/>
    </xf>
    <xf numFmtId="3" fontId="15" fillId="0" borderId="5" xfId="0" applyFont="1" applyFill="1" applyBorder="1" applyAlignment="1">
      <alignment horizontal="center" vertical="center"/>
    </xf>
    <xf numFmtId="3" fontId="15" fillId="0" borderId="6" xfId="0" applyFont="1" applyFill="1" applyBorder="1" applyAlignment="1">
      <alignment horizontal="center" vertical="center"/>
    </xf>
    <xf numFmtId="3" fontId="15" fillId="0" borderId="0" xfId="0" applyFont="1" applyFill="1" applyAlignment="1">
      <alignment horizontal="center"/>
    </xf>
    <xf numFmtId="3" fontId="15" fillId="0" borderId="4" xfId="0" applyFont="1" applyFill="1" applyBorder="1" applyAlignment="1">
      <alignment horizontal="center"/>
    </xf>
    <xf numFmtId="3" fontId="15" fillId="0" borderId="7" xfId="0" applyFont="1" applyFill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left" wrapText="1"/>
    </xf>
    <xf numFmtId="3" fontId="5" fillId="0" borderId="0" xfId="0" applyFont="1" applyFill="1"/>
    <xf numFmtId="1" fontId="17" fillId="0" borderId="12" xfId="0" applyNumberFormat="1" applyFont="1" applyFill="1" applyBorder="1" applyAlignment="1">
      <alignment horizontal="left"/>
    </xf>
    <xf numFmtId="165" fontId="10" fillId="0" borderId="2" xfId="0" applyNumberFormat="1" applyFont="1" applyFill="1" applyBorder="1"/>
    <xf numFmtId="3" fontId="22" fillId="0" borderId="0" xfId="0" applyFont="1" applyFill="1"/>
    <xf numFmtId="3" fontId="22" fillId="0" borderId="0" xfId="0" applyFont="1" applyFill="1" applyAlignment="1">
      <alignment horizontal="right"/>
    </xf>
    <xf numFmtId="3" fontId="15" fillId="0" borderId="0" xfId="0" applyFont="1" applyFill="1"/>
    <xf numFmtId="3" fontId="10" fillId="0" borderId="13" xfId="0" applyFont="1" applyFill="1" applyBorder="1"/>
    <xf numFmtId="165" fontId="12" fillId="0" borderId="15" xfId="0" applyNumberFormat="1" applyFont="1" applyFill="1" applyBorder="1"/>
    <xf numFmtId="1" fontId="12" fillId="0" borderId="16" xfId="0" applyNumberFormat="1" applyFont="1" applyFill="1" applyBorder="1" applyAlignment="1">
      <alignment horizontal="left" wrapText="1"/>
    </xf>
    <xf numFmtId="165" fontId="12" fillId="0" borderId="17" xfId="0" applyNumberFormat="1" applyFont="1" applyFill="1" applyBorder="1"/>
    <xf numFmtId="3" fontId="0" fillId="0" borderId="0" xfId="0" applyFill="1" applyBorder="1"/>
    <xf numFmtId="1" fontId="6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Alignment="1">
      <alignment horizontal="center"/>
    </xf>
    <xf numFmtId="166" fontId="11" fillId="0" borderId="0" xfId="0" applyNumberFormat="1" applyFont="1" applyFill="1" applyAlignment="1">
      <alignment horizontal="center"/>
    </xf>
    <xf numFmtId="3" fontId="9" fillId="0" borderId="0" xfId="0" applyFont="1" applyFill="1"/>
    <xf numFmtId="3" fontId="9" fillId="0" borderId="0" xfId="0" applyFont="1" applyFill="1" applyAlignment="1">
      <alignment horizontal="right"/>
    </xf>
    <xf numFmtId="3" fontId="16" fillId="0" borderId="0" xfId="0" applyFont="1" applyFill="1" applyAlignment="1">
      <alignment horizontal="right"/>
    </xf>
    <xf numFmtId="1" fontId="8" fillId="0" borderId="18" xfId="0" applyNumberFormat="1" applyFont="1" applyFill="1" applyBorder="1" applyAlignment="1">
      <alignment horizontal="center" vertical="center"/>
    </xf>
    <xf numFmtId="3" fontId="8" fillId="0" borderId="18" xfId="0" applyFont="1" applyFill="1" applyBorder="1" applyAlignment="1">
      <alignment horizontal="center" vertical="center"/>
    </xf>
    <xf numFmtId="3" fontId="15" fillId="0" borderId="18" xfId="0" applyFont="1" applyFill="1" applyBorder="1" applyAlignment="1">
      <alignment horizontal="center" vertical="center"/>
    </xf>
    <xf numFmtId="3" fontId="15" fillId="0" borderId="19" xfId="0" applyFont="1" applyFill="1" applyBorder="1" applyAlignment="1">
      <alignment horizontal="center" vertical="center"/>
    </xf>
    <xf numFmtId="3" fontId="8" fillId="0" borderId="0" xfId="0" applyFont="1" applyFill="1"/>
    <xf numFmtId="3" fontId="21" fillId="0" borderId="0" xfId="0" applyFont="1" applyFill="1" applyAlignment="1">
      <alignment vertical="center"/>
    </xf>
    <xf numFmtId="3" fontId="8" fillId="0" borderId="0" xfId="0" applyFont="1" applyFill="1" applyAlignment="1">
      <alignment vertical="center" wrapText="1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1" fillId="0" borderId="3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vertical="center" wrapText="1"/>
    </xf>
    <xf numFmtId="3" fontId="4" fillId="0" borderId="20" xfId="0" applyFont="1" applyFill="1" applyBorder="1" applyAlignment="1"/>
    <xf numFmtId="1" fontId="3" fillId="0" borderId="3" xfId="0" applyNumberFormat="1" applyFont="1" applyFill="1" applyBorder="1" applyAlignment="1">
      <alignment horizontal="center"/>
    </xf>
    <xf numFmtId="166" fontId="11" fillId="0" borderId="20" xfId="0" applyNumberFormat="1" applyFont="1" applyFill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/>
    </xf>
    <xf numFmtId="3" fontId="3" fillId="0" borderId="3" xfId="0" applyFont="1" applyFill="1" applyBorder="1" applyAlignment="1"/>
    <xf numFmtId="3" fontId="4" fillId="0" borderId="3" xfId="0" applyFont="1" applyFill="1" applyBorder="1" applyAlignment="1"/>
    <xf numFmtId="3" fontId="5" fillId="0" borderId="0" xfId="0" applyFont="1" applyFill="1" applyAlignment="1">
      <alignment horizontal="left"/>
    </xf>
    <xf numFmtId="49" fontId="11" fillId="0" borderId="20" xfId="0" applyNumberFormat="1" applyFont="1" applyBorder="1" applyAlignment="1">
      <alignment horizontal="left"/>
    </xf>
    <xf numFmtId="49" fontId="11" fillId="0" borderId="20" xfId="0" applyNumberFormat="1" applyFont="1" applyBorder="1" applyAlignment="1">
      <alignment horizontal="left" vertical="top"/>
    </xf>
    <xf numFmtId="3" fontId="10" fillId="0" borderId="0" xfId="0" applyFont="1" applyAlignment="1">
      <alignment vertical="top" wrapText="1"/>
    </xf>
    <xf numFmtId="3" fontId="10" fillId="0" borderId="0" xfId="0" applyFont="1" applyAlignment="1">
      <alignment vertical="top"/>
    </xf>
    <xf numFmtId="3" fontId="4" fillId="0" borderId="0" xfId="0" applyFont="1" applyAlignment="1"/>
    <xf numFmtId="3" fontId="10" fillId="0" borderId="0" xfId="0" applyFont="1" applyFill="1" applyBorder="1" applyAlignment="1"/>
    <xf numFmtId="3" fontId="4" fillId="0" borderId="0" xfId="0" applyFont="1" applyFill="1" applyBorder="1" applyAlignment="1">
      <alignment vertical="top"/>
    </xf>
    <xf numFmtId="3" fontId="4" fillId="0" borderId="0" xfId="0" applyFont="1" applyFill="1" applyBorder="1" applyAlignment="1"/>
    <xf numFmtId="165" fontId="10" fillId="0" borderId="21" xfId="0" applyNumberFormat="1" applyFont="1" applyFill="1" applyBorder="1"/>
    <xf numFmtId="165" fontId="9" fillId="0" borderId="21" xfId="0" applyNumberFormat="1" applyFont="1" applyFill="1" applyBorder="1"/>
    <xf numFmtId="3" fontId="10" fillId="0" borderId="0" xfId="0" applyFont="1" applyFill="1" applyBorder="1" applyAlignment="1">
      <alignment vertical="top" wrapText="1"/>
    </xf>
    <xf numFmtId="3" fontId="10" fillId="0" borderId="0" xfId="0" applyFont="1" applyFill="1" applyBorder="1" applyAlignment="1">
      <alignment vertical="top"/>
    </xf>
    <xf numFmtId="49" fontId="11" fillId="0" borderId="3" xfId="0" applyNumberFormat="1" applyFont="1" applyBorder="1" applyAlignment="1">
      <alignment horizontal="left" vertical="top"/>
    </xf>
    <xf numFmtId="49" fontId="11" fillId="0" borderId="3" xfId="0" applyNumberFormat="1" applyFont="1" applyBorder="1" applyAlignment="1">
      <alignment horizontal="left"/>
    </xf>
    <xf numFmtId="167" fontId="11" fillId="0" borderId="3" xfId="0" applyNumberFormat="1" applyFont="1" applyFill="1" applyBorder="1" applyAlignment="1">
      <alignment horizontal="center" vertical="top"/>
    </xf>
    <xf numFmtId="3" fontId="24" fillId="0" borderId="0" xfId="0" applyNumberFormat="1" applyFont="1" applyFill="1" applyBorder="1"/>
    <xf numFmtId="3" fontId="12" fillId="0" borderId="22" xfId="0" applyNumberFormat="1" applyFont="1" applyFill="1" applyBorder="1"/>
    <xf numFmtId="3" fontId="25" fillId="0" borderId="0" xfId="0" applyNumberFormat="1" applyFont="1" applyFill="1" applyBorder="1" applyAlignment="1">
      <alignment horizontal="right" vertical="center" wrapText="1"/>
    </xf>
    <xf numFmtId="3" fontId="8" fillId="0" borderId="24" xfId="0" applyFont="1" applyFill="1" applyBorder="1" applyAlignment="1">
      <alignment horizontal="center" vertical="center"/>
    </xf>
    <xf numFmtId="165" fontId="4" fillId="0" borderId="21" xfId="0" applyNumberFormat="1" applyFont="1" applyFill="1" applyBorder="1"/>
    <xf numFmtId="3" fontId="25" fillId="0" borderId="3" xfId="0" applyNumberFormat="1" applyFont="1" applyFill="1" applyBorder="1" applyAlignment="1">
      <alignment horizontal="right" vertical="center" wrapText="1"/>
    </xf>
    <xf numFmtId="3" fontId="25" fillId="0" borderId="3" xfId="0" applyNumberFormat="1" applyFont="1" applyFill="1" applyBorder="1" applyAlignment="1">
      <alignment horizontal="right" vertical="center"/>
    </xf>
    <xf numFmtId="3" fontId="20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3" fontId="20" fillId="0" borderId="25" xfId="0" applyFont="1" applyFill="1" applyBorder="1" applyAlignment="1">
      <alignment horizontal="center" vertical="center"/>
    </xf>
    <xf numFmtId="3" fontId="20" fillId="0" borderId="26" xfId="0" applyFont="1" applyFill="1" applyBorder="1" applyAlignment="1">
      <alignment horizontal="center" vertical="center"/>
    </xf>
    <xf numFmtId="1" fontId="20" fillId="0" borderId="26" xfId="0" applyNumberFormat="1" applyFont="1" applyFill="1" applyBorder="1" applyAlignment="1">
      <alignment horizontal="center" vertical="center" wrapText="1"/>
    </xf>
    <xf numFmtId="1" fontId="20" fillId="0" borderId="25" xfId="0" applyNumberFormat="1" applyFont="1" applyFill="1" applyBorder="1" applyAlignment="1">
      <alignment horizontal="center" vertical="center" wrapText="1"/>
    </xf>
    <xf numFmtId="1" fontId="20" fillId="0" borderId="27" xfId="0" applyNumberFormat="1" applyFont="1" applyFill="1" applyBorder="1" applyAlignment="1">
      <alignment horizontal="center" vertical="center" wrapText="1"/>
    </xf>
    <xf numFmtId="49" fontId="21" fillId="0" borderId="28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left"/>
    </xf>
    <xf numFmtId="49" fontId="15" fillId="0" borderId="8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left"/>
    </xf>
    <xf numFmtId="3" fontId="10" fillId="0" borderId="0" xfId="0" applyFont="1" applyBorder="1" applyAlignment="1">
      <alignment horizontal="left"/>
    </xf>
    <xf numFmtId="3" fontId="7" fillId="0" borderId="29" xfId="0" applyFont="1" applyFill="1" applyBorder="1" applyAlignment="1">
      <alignment horizontal="left"/>
    </xf>
    <xf numFmtId="3" fontId="5" fillId="0" borderId="29" xfId="0" applyFont="1" applyFill="1" applyBorder="1"/>
    <xf numFmtId="166" fontId="13" fillId="0" borderId="29" xfId="0" applyNumberFormat="1" applyFont="1" applyFill="1" applyBorder="1" applyAlignment="1">
      <alignment horizontal="center"/>
    </xf>
    <xf numFmtId="3" fontId="14" fillId="2" borderId="30" xfId="0" applyFont="1" applyFill="1" applyBorder="1" applyAlignment="1">
      <alignment horizontal="left"/>
    </xf>
    <xf numFmtId="49" fontId="20" fillId="0" borderId="1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/>
    <xf numFmtId="3" fontId="3" fillId="0" borderId="3" xfId="0" applyFont="1" applyFill="1" applyBorder="1" applyAlignment="1">
      <alignment vertical="center" wrapText="1"/>
    </xf>
    <xf numFmtId="1" fontId="3" fillId="0" borderId="20" xfId="0" applyNumberFormat="1" applyFont="1" applyFill="1" applyBorder="1" applyAlignment="1"/>
    <xf numFmtId="1" fontId="3" fillId="0" borderId="20" xfId="0" applyNumberFormat="1" applyFont="1" applyFill="1" applyBorder="1" applyAlignment="1">
      <alignment vertical="center" wrapText="1"/>
    </xf>
    <xf numFmtId="1" fontId="3" fillId="0" borderId="0" xfId="0" applyNumberFormat="1" applyFont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10" fillId="0" borderId="3" xfId="0" applyFont="1" applyFill="1" applyBorder="1" applyAlignment="1"/>
    <xf numFmtId="3" fontId="26" fillId="2" borderId="29" xfId="0" applyFont="1" applyFill="1" applyBorder="1" applyAlignment="1">
      <alignment horizontal="left" vertical="center"/>
    </xf>
    <xf numFmtId="165" fontId="27" fillId="2" borderId="14" xfId="0" applyNumberFormat="1" applyFont="1" applyFill="1" applyBorder="1" applyAlignment="1">
      <alignment vertical="center" wrapText="1"/>
    </xf>
    <xf numFmtId="3" fontId="28" fillId="2" borderId="29" xfId="0" applyFont="1" applyFill="1" applyBorder="1"/>
    <xf numFmtId="165" fontId="27" fillId="2" borderId="14" xfId="0" applyNumberFormat="1" applyFont="1" applyFill="1" applyBorder="1"/>
    <xf numFmtId="1" fontId="28" fillId="2" borderId="1" xfId="0" applyNumberFormat="1" applyFont="1" applyFill="1" applyBorder="1" applyAlignment="1"/>
    <xf numFmtId="1" fontId="28" fillId="2" borderId="29" xfId="0" applyNumberFormat="1" applyFont="1" applyFill="1" applyBorder="1" applyAlignment="1">
      <alignment horizontal="center"/>
    </xf>
    <xf numFmtId="166" fontId="28" fillId="2" borderId="1" xfId="0" applyNumberFormat="1" applyFont="1" applyFill="1" applyBorder="1" applyAlignment="1">
      <alignment horizontal="center"/>
    </xf>
    <xf numFmtId="1" fontId="28" fillId="2" borderId="1" xfId="0" applyNumberFormat="1" applyFont="1" applyFill="1" applyBorder="1" applyAlignment="1">
      <alignment horizontal="center"/>
    </xf>
    <xf numFmtId="165" fontId="28" fillId="2" borderId="14" xfId="0" applyNumberFormat="1" applyFont="1" applyFill="1" applyBorder="1"/>
    <xf numFmtId="49" fontId="28" fillId="2" borderId="35" xfId="0" applyNumberFormat="1" applyFont="1" applyFill="1" applyBorder="1" applyAlignment="1">
      <alignment horizontal="left" vertical="top"/>
    </xf>
    <xf numFmtId="49" fontId="10" fillId="0" borderId="0" xfId="0" applyNumberFormat="1" applyFont="1" applyFill="1" applyAlignment="1">
      <alignment horizontal="left"/>
    </xf>
    <xf numFmtId="3" fontId="10" fillId="0" borderId="0" xfId="0" applyFont="1" applyAlignment="1"/>
    <xf numFmtId="3" fontId="23" fillId="0" borderId="0" xfId="0" applyFont="1"/>
    <xf numFmtId="1" fontId="28" fillId="3" borderId="3" xfId="0" applyNumberFormat="1" applyFont="1" applyFill="1" applyBorder="1" applyAlignment="1"/>
    <xf numFmtId="3" fontId="28" fillId="3" borderId="0" xfId="0" applyFont="1" applyFill="1" applyBorder="1"/>
    <xf numFmtId="1" fontId="28" fillId="3" borderId="0" xfId="0" applyNumberFormat="1" applyFont="1" applyFill="1" applyBorder="1" applyAlignment="1">
      <alignment horizontal="center"/>
    </xf>
    <xf numFmtId="1" fontId="28" fillId="3" borderId="3" xfId="0" applyNumberFormat="1" applyFont="1" applyFill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49" fontId="15" fillId="3" borderId="8" xfId="0" applyNumberFormat="1" applyFont="1" applyFill="1" applyBorder="1" applyAlignment="1">
      <alignment horizontal="center"/>
    </xf>
    <xf numFmtId="1" fontId="28" fillId="3" borderId="20" xfId="0" applyNumberFormat="1" applyFont="1" applyFill="1" applyBorder="1" applyAlignment="1">
      <alignment horizontal="center"/>
    </xf>
    <xf numFmtId="49" fontId="15" fillId="3" borderId="37" xfId="0" applyNumberFormat="1" applyFont="1" applyFill="1" applyBorder="1" applyAlignment="1">
      <alignment horizontal="center"/>
    </xf>
    <xf numFmtId="4" fontId="15" fillId="0" borderId="0" xfId="0" applyNumberFormat="1" applyFont="1" applyFill="1"/>
    <xf numFmtId="3" fontId="30" fillId="0" borderId="0" xfId="0" applyFont="1" applyFill="1" applyAlignment="1">
      <alignment horizontal="center"/>
    </xf>
    <xf numFmtId="3" fontId="30" fillId="0" borderId="0" xfId="0" applyFont="1" applyFill="1"/>
    <xf numFmtId="4" fontId="30" fillId="0" borderId="0" xfId="0" applyNumberFormat="1" applyFont="1" applyFill="1"/>
    <xf numFmtId="49" fontId="30" fillId="0" borderId="0" xfId="0" applyNumberFormat="1" applyFont="1" applyFill="1" applyBorder="1" applyAlignment="1">
      <alignment horizontal="right"/>
    </xf>
    <xf numFmtId="1" fontId="23" fillId="0" borderId="3" xfId="0" applyNumberFormat="1" applyFont="1" applyFill="1" applyBorder="1" applyAlignment="1">
      <alignment horizontal="center" vertical="center"/>
    </xf>
    <xf numFmtId="1" fontId="25" fillId="0" borderId="3" xfId="0" applyNumberFormat="1" applyFont="1" applyFill="1" applyBorder="1" applyAlignment="1">
      <alignment horizontal="right" wrapText="1"/>
    </xf>
    <xf numFmtId="164" fontId="25" fillId="0" borderId="2" xfId="0" applyNumberFormat="1" applyFont="1" applyFill="1" applyBorder="1" applyAlignment="1">
      <alignment horizontal="right" wrapText="1"/>
    </xf>
    <xf numFmtId="49" fontId="11" fillId="0" borderId="3" xfId="0" applyNumberFormat="1" applyFont="1" applyBorder="1" applyAlignment="1">
      <alignment horizontal="left" vertical="center"/>
    </xf>
    <xf numFmtId="3" fontId="4" fillId="0" borderId="0" xfId="0" applyFont="1" applyAlignment="1">
      <alignment vertical="top"/>
    </xf>
    <xf numFmtId="3" fontId="25" fillId="0" borderId="0" xfId="0" applyFont="1" applyFill="1" applyBorder="1" applyAlignment="1">
      <alignment horizontal="left" vertical="top"/>
    </xf>
    <xf numFmtId="3" fontId="4" fillId="0" borderId="0" xfId="0" applyFont="1" applyFill="1" applyBorder="1" applyAlignment="1">
      <alignment vertical="top" wrapText="1"/>
    </xf>
    <xf numFmtId="3" fontId="0" fillId="0" borderId="0" xfId="0" applyFont="1" applyAlignment="1">
      <alignment vertical="top"/>
    </xf>
    <xf numFmtId="3" fontId="3" fillId="0" borderId="0" xfId="0" applyFont="1" applyAlignment="1">
      <alignment vertical="top"/>
    </xf>
    <xf numFmtId="4" fontId="8" fillId="0" borderId="0" xfId="0" applyNumberFormat="1" applyFont="1" applyFill="1"/>
    <xf numFmtId="3" fontId="0" fillId="0" borderId="3" xfId="0" applyFont="1" applyBorder="1" applyAlignment="1">
      <alignment wrapText="1"/>
    </xf>
    <xf numFmtId="49" fontId="28" fillId="4" borderId="20" xfId="0" applyNumberFormat="1" applyFont="1" applyFill="1" applyBorder="1" applyAlignment="1">
      <alignment horizontal="left" vertical="top"/>
    </xf>
    <xf numFmtId="3" fontId="28" fillId="4" borderId="0" xfId="0" applyFont="1" applyFill="1" applyBorder="1"/>
    <xf numFmtId="49" fontId="15" fillId="4" borderId="8" xfId="0" applyNumberFormat="1" applyFont="1" applyFill="1" applyBorder="1" applyAlignment="1">
      <alignment horizontal="center"/>
    </xf>
    <xf numFmtId="1" fontId="0" fillId="4" borderId="3" xfId="0" applyNumberFormat="1" applyFont="1" applyFill="1" applyBorder="1" applyAlignment="1">
      <alignment horizontal="center"/>
    </xf>
    <xf numFmtId="165" fontId="10" fillId="4" borderId="21" xfId="0" applyNumberFormat="1" applyFont="1" applyFill="1" applyBorder="1"/>
    <xf numFmtId="3" fontId="4" fillId="0" borderId="0" xfId="0" applyFont="1" applyBorder="1" applyAlignment="1"/>
    <xf numFmtId="3" fontId="20" fillId="0" borderId="0" xfId="0" applyFont="1" applyFill="1" applyBorder="1" applyAlignment="1">
      <alignment horizontal="center" vertical="center"/>
    </xf>
    <xf numFmtId="1" fontId="28" fillId="4" borderId="20" xfId="0" applyNumberFormat="1" applyFont="1" applyFill="1" applyBorder="1" applyAlignment="1">
      <alignment horizontal="center"/>
    </xf>
    <xf numFmtId="3" fontId="23" fillId="4" borderId="0" xfId="0" applyFont="1" applyFill="1" applyBorder="1" applyAlignment="1">
      <alignment horizontal="left" vertical="center"/>
    </xf>
    <xf numFmtId="3" fontId="9" fillId="4" borderId="3" xfId="0" applyFont="1" applyFill="1" applyBorder="1"/>
    <xf numFmtId="1" fontId="28" fillId="4" borderId="3" xfId="0" applyNumberFormat="1" applyFont="1" applyFill="1" applyBorder="1" applyAlignment="1">
      <alignment horizontal="center"/>
    </xf>
    <xf numFmtId="49" fontId="15" fillId="3" borderId="8" xfId="0" applyNumberFormat="1" applyFont="1" applyFill="1" applyBorder="1" applyAlignment="1">
      <alignment horizontal="center" vertical="center"/>
    </xf>
    <xf numFmtId="3" fontId="0" fillId="0" borderId="0" xfId="0" applyFont="1" applyFill="1"/>
    <xf numFmtId="3" fontId="9" fillId="0" borderId="3" xfId="0" applyNumberFormat="1" applyFont="1" applyFill="1" applyBorder="1"/>
    <xf numFmtId="3" fontId="19" fillId="0" borderId="8" xfId="0" applyFont="1" applyFill="1" applyBorder="1"/>
    <xf numFmtId="3" fontId="19" fillId="0" borderId="13" xfId="0" applyFont="1" applyFill="1" applyBorder="1"/>
    <xf numFmtId="3" fontId="4" fillId="4" borderId="3" xfId="0" applyFont="1" applyFill="1" applyBorder="1"/>
    <xf numFmtId="3" fontId="4" fillId="4" borderId="0" xfId="0" applyFont="1" applyFill="1" applyBorder="1"/>
    <xf numFmtId="3" fontId="4" fillId="4" borderId="0" xfId="0" applyFont="1" applyFill="1" applyBorder="1" applyAlignment="1">
      <alignment horizontal="right"/>
    </xf>
    <xf numFmtId="3" fontId="10" fillId="4" borderId="3" xfId="0" applyFont="1" applyFill="1" applyBorder="1"/>
    <xf numFmtId="3" fontId="10" fillId="4" borderId="0" xfId="0" applyFont="1" applyFill="1" applyBorder="1"/>
    <xf numFmtId="3" fontId="9" fillId="4" borderId="0" xfId="0" applyFont="1" applyFill="1" applyBorder="1"/>
    <xf numFmtId="3" fontId="17" fillId="4" borderId="0" xfId="0" applyFont="1" applyFill="1" applyBorder="1"/>
    <xf numFmtId="3" fontId="4" fillId="4" borderId="3" xfId="0" applyFont="1" applyFill="1" applyBorder="1" applyAlignment="1">
      <alignment horizontal="right" vertical="top"/>
    </xf>
    <xf numFmtId="3" fontId="4" fillId="4" borderId="3" xfId="0" applyFont="1" applyFill="1" applyBorder="1" applyAlignment="1">
      <alignment horizontal="right"/>
    </xf>
    <xf numFmtId="3" fontId="10" fillId="4" borderId="3" xfId="0" applyFont="1" applyFill="1" applyBorder="1" applyAlignment="1">
      <alignment vertical="center"/>
    </xf>
    <xf numFmtId="3" fontId="10" fillId="4" borderId="0" xfId="0" applyFont="1" applyFill="1" applyBorder="1" applyAlignment="1">
      <alignment vertical="center"/>
    </xf>
    <xf numFmtId="3" fontId="10" fillId="4" borderId="3" xfId="0" applyNumberFormat="1" applyFont="1" applyFill="1" applyBorder="1" applyAlignment="1">
      <alignment vertical="center"/>
    </xf>
    <xf numFmtId="3" fontId="10" fillId="4" borderId="0" xfId="0" applyNumberFormat="1" applyFont="1" applyFill="1" applyBorder="1" applyAlignment="1">
      <alignment vertical="center"/>
    </xf>
    <xf numFmtId="3" fontId="10" fillId="4" borderId="3" xfId="0" applyFont="1" applyFill="1" applyBorder="1" applyAlignment="1">
      <alignment horizontal="right" vertical="center"/>
    </xf>
    <xf numFmtId="3" fontId="25" fillId="4" borderId="3" xfId="0" applyNumberFormat="1" applyFont="1" applyFill="1" applyBorder="1" applyAlignment="1">
      <alignment horizontal="right" vertical="center"/>
    </xf>
    <xf numFmtId="3" fontId="25" fillId="4" borderId="0" xfId="0" applyNumberFormat="1" applyFont="1" applyFill="1" applyBorder="1" applyAlignment="1">
      <alignment horizontal="right" vertical="center" wrapText="1"/>
    </xf>
    <xf numFmtId="3" fontId="25" fillId="4" borderId="3" xfId="0" applyNumberFormat="1" applyFont="1" applyFill="1" applyBorder="1" applyAlignment="1">
      <alignment horizontal="right" vertical="center" wrapText="1"/>
    </xf>
    <xf numFmtId="3" fontId="25" fillId="4" borderId="3" xfId="0" applyFont="1" applyFill="1" applyBorder="1" applyAlignment="1">
      <alignment horizontal="right" vertical="center"/>
    </xf>
    <xf numFmtId="1" fontId="25" fillId="4" borderId="0" xfId="0" applyNumberFormat="1" applyFont="1" applyFill="1" applyBorder="1" applyAlignment="1">
      <alignment horizontal="right" vertical="center" wrapText="1"/>
    </xf>
    <xf numFmtId="1" fontId="25" fillId="4" borderId="3" xfId="0" applyNumberFormat="1" applyFont="1" applyFill="1" applyBorder="1" applyAlignment="1">
      <alignment horizontal="right" vertical="center" wrapText="1"/>
    </xf>
    <xf numFmtId="165" fontId="9" fillId="4" borderId="21" xfId="0" applyNumberFormat="1" applyFont="1" applyFill="1" applyBorder="1"/>
    <xf numFmtId="165" fontId="9" fillId="0" borderId="15" xfId="0" applyNumberFormat="1" applyFont="1" applyFill="1" applyBorder="1"/>
    <xf numFmtId="4" fontId="33" fillId="0" borderId="0" xfId="0" applyNumberFormat="1" applyFont="1" applyFill="1"/>
    <xf numFmtId="3" fontId="32" fillId="0" borderId="0" xfId="0" applyFont="1" applyFill="1" applyBorder="1"/>
    <xf numFmtId="3" fontId="32" fillId="0" borderId="0" xfId="0" applyFont="1" applyFill="1"/>
    <xf numFmtId="3" fontId="33" fillId="0" borderId="0" xfId="0" applyFont="1" applyFill="1" applyBorder="1" applyAlignment="1">
      <alignment horizontal="center"/>
    </xf>
    <xf numFmtId="3" fontId="33" fillId="0" borderId="0" xfId="0" applyFont="1" applyFill="1" applyAlignment="1">
      <alignment horizontal="center"/>
    </xf>
    <xf numFmtId="3" fontId="34" fillId="0" borderId="0" xfId="0" applyFont="1" applyFill="1"/>
    <xf numFmtId="3" fontId="33" fillId="0" borderId="0" xfId="0" applyFont="1" applyFill="1"/>
    <xf numFmtId="4" fontId="20" fillId="0" borderId="0" xfId="0" applyNumberFormat="1" applyFont="1" applyFill="1" applyAlignment="1">
      <alignment vertical="center"/>
    </xf>
    <xf numFmtId="4" fontId="8" fillId="0" borderId="0" xfId="0" applyNumberFormat="1" applyFont="1" applyFill="1" applyBorder="1"/>
    <xf numFmtId="165" fontId="27" fillId="2" borderId="14" xfId="0" applyNumberFormat="1" applyFont="1" applyFill="1" applyBorder="1" applyAlignment="1">
      <alignment shrinkToFit="1"/>
    </xf>
    <xf numFmtId="3" fontId="10" fillId="4" borderId="0" xfId="0" applyFont="1" applyFill="1" applyBorder="1" applyAlignment="1">
      <alignment horizontal="right"/>
    </xf>
    <xf numFmtId="3" fontId="10" fillId="4" borderId="3" xfId="0" applyFont="1" applyFill="1" applyBorder="1" applyAlignment="1">
      <alignment vertical="top"/>
    </xf>
    <xf numFmtId="3" fontId="9" fillId="0" borderId="0" xfId="0" applyFont="1" applyFill="1" applyBorder="1" applyAlignment="1">
      <alignment horizontal="right"/>
    </xf>
    <xf numFmtId="3" fontId="10" fillId="4" borderId="23" xfId="0" applyFont="1" applyFill="1" applyBorder="1"/>
    <xf numFmtId="4" fontId="8" fillId="0" borderId="0" xfId="0" applyNumberFormat="1" applyFont="1" applyFill="1" applyAlignment="1">
      <alignment vertical="center" wrapText="1"/>
    </xf>
    <xf numFmtId="4" fontId="35" fillId="4" borderId="0" xfId="0" applyNumberFormat="1" applyFont="1" applyFill="1" applyBorder="1"/>
    <xf numFmtId="3" fontId="28" fillId="4" borderId="3" xfId="0" applyFont="1" applyFill="1" applyBorder="1"/>
    <xf numFmtId="49" fontId="16" fillId="4" borderId="20" xfId="0" applyNumberFormat="1" applyFont="1" applyFill="1" applyBorder="1" applyAlignment="1">
      <alignment horizontal="left" vertical="top"/>
    </xf>
    <xf numFmtId="3" fontId="10" fillId="4" borderId="0" xfId="0" applyFont="1" applyFill="1" applyBorder="1" applyAlignment="1">
      <alignment horizontal="right" vertical="top"/>
    </xf>
    <xf numFmtId="3" fontId="10" fillId="4" borderId="23" xfId="0" applyFont="1" applyFill="1" applyBorder="1" applyAlignment="1">
      <alignment horizontal="right" vertical="top"/>
    </xf>
    <xf numFmtId="3" fontId="9" fillId="4" borderId="23" xfId="0" applyFont="1" applyFill="1" applyBorder="1"/>
    <xf numFmtId="3" fontId="9" fillId="4" borderId="0" xfId="0" applyFont="1" applyFill="1" applyBorder="1" applyAlignment="1">
      <alignment vertical="top"/>
    </xf>
    <xf numFmtId="3" fontId="9" fillId="4" borderId="3" xfId="0" applyFont="1" applyFill="1" applyBorder="1" applyAlignment="1">
      <alignment horizontal="right" vertical="top"/>
    </xf>
    <xf numFmtId="3" fontId="10" fillId="4" borderId="20" xfId="0" applyFont="1" applyFill="1" applyBorder="1" applyAlignment="1">
      <alignment vertical="top"/>
    </xf>
    <xf numFmtId="3" fontId="27" fillId="4" borderId="3" xfId="0" applyFont="1" applyFill="1" applyBorder="1"/>
    <xf numFmtId="3" fontId="27" fillId="3" borderId="3" xfId="0" applyFont="1" applyFill="1" applyBorder="1"/>
    <xf numFmtId="3" fontId="28" fillId="0" borderId="0" xfId="0" applyFont="1" applyFill="1" applyBorder="1"/>
    <xf numFmtId="49" fontId="16" fillId="0" borderId="20" xfId="0" applyNumberFormat="1" applyFont="1" applyFill="1" applyBorder="1" applyAlignment="1">
      <alignment horizontal="left" vertical="top"/>
    </xf>
    <xf numFmtId="3" fontId="23" fillId="0" borderId="0" xfId="0" applyFont="1" applyFill="1" applyBorder="1" applyAlignment="1">
      <alignment horizontal="left" vertical="center"/>
    </xf>
    <xf numFmtId="1" fontId="0" fillId="4" borderId="20" xfId="0" applyNumberFormat="1" applyFont="1" applyFill="1" applyBorder="1" applyAlignment="1">
      <alignment horizontal="center"/>
    </xf>
    <xf numFmtId="3" fontId="11" fillId="0" borderId="0" xfId="0" applyFont="1" applyFill="1"/>
    <xf numFmtId="4" fontId="11" fillId="0" borderId="0" xfId="0" applyNumberFormat="1" applyFont="1" applyFill="1"/>
    <xf numFmtId="49" fontId="8" fillId="4" borderId="8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/>
    <xf numFmtId="1" fontId="3" fillId="4" borderId="3" xfId="0" applyNumberFormat="1" applyFont="1" applyFill="1" applyBorder="1" applyAlignment="1">
      <alignment horizontal="center"/>
    </xf>
    <xf numFmtId="166" fontId="11" fillId="4" borderId="20" xfId="0" applyNumberFormat="1" applyFont="1" applyFill="1" applyBorder="1" applyAlignment="1">
      <alignment horizontal="left"/>
    </xf>
    <xf numFmtId="3" fontId="4" fillId="4" borderId="3" xfId="0" applyFont="1" applyFill="1" applyBorder="1" applyAlignment="1">
      <alignment wrapText="1"/>
    </xf>
    <xf numFmtId="49" fontId="11" fillId="4" borderId="20" xfId="0" applyNumberFormat="1" applyFont="1" applyFill="1" applyBorder="1" applyAlignment="1">
      <alignment horizontal="left" vertical="top"/>
    </xf>
    <xf numFmtId="3" fontId="9" fillId="4" borderId="0" xfId="0" applyFont="1" applyFill="1"/>
    <xf numFmtId="3" fontId="9" fillId="4" borderId="30" xfId="0" applyFont="1" applyFill="1" applyBorder="1"/>
    <xf numFmtId="4" fontId="9" fillId="4" borderId="0" xfId="0" applyNumberFormat="1" applyFont="1" applyFill="1"/>
    <xf numFmtId="4" fontId="15" fillId="4" borderId="0" xfId="0" applyNumberFormat="1" applyFont="1" applyFill="1"/>
    <xf numFmtId="3" fontId="0" fillId="4" borderId="0" xfId="0" applyFont="1" applyFill="1"/>
    <xf numFmtId="166" fontId="16" fillId="4" borderId="0" xfId="0" applyNumberFormat="1" applyFont="1" applyFill="1" applyAlignment="1">
      <alignment horizontal="center"/>
    </xf>
    <xf numFmtId="1" fontId="0" fillId="4" borderId="0" xfId="0" applyNumberFormat="1" applyFont="1" applyFill="1"/>
    <xf numFmtId="3" fontId="9" fillId="4" borderId="0" xfId="0" applyFont="1" applyFill="1" applyAlignment="1">
      <alignment horizontal="right"/>
    </xf>
    <xf numFmtId="166" fontId="16" fillId="0" borderId="0" xfId="0" applyNumberFormat="1" applyFont="1" applyFill="1" applyAlignment="1">
      <alignment horizontal="center"/>
    </xf>
    <xf numFmtId="166" fontId="16" fillId="4" borderId="0" xfId="0" applyNumberFormat="1" applyFont="1" applyFill="1" applyAlignment="1">
      <alignment horizontal="left"/>
    </xf>
    <xf numFmtId="1" fontId="0" fillId="4" borderId="0" xfId="0" applyNumberFormat="1" applyFont="1" applyFill="1" applyAlignment="1">
      <alignment horizontal="center"/>
    </xf>
    <xf numFmtId="4" fontId="9" fillId="4" borderId="30" xfId="0" applyNumberFormat="1" applyFont="1" applyFill="1" applyBorder="1"/>
    <xf numFmtId="3" fontId="36" fillId="0" borderId="0" xfId="0" applyFont="1" applyFill="1" applyBorder="1"/>
    <xf numFmtId="164" fontId="14" fillId="2" borderId="30" xfId="0" applyNumberFormat="1" applyFont="1" applyFill="1" applyBorder="1"/>
    <xf numFmtId="3" fontId="4" fillId="0" borderId="0" xfId="0" applyFont="1" applyFill="1" applyBorder="1"/>
    <xf numFmtId="3" fontId="4" fillId="0" borderId="0" xfId="0" applyFont="1" applyFill="1" applyBorder="1" applyAlignment="1">
      <alignment horizontal="right" vertical="top"/>
    </xf>
    <xf numFmtId="165" fontId="4" fillId="0" borderId="0" xfId="0" applyNumberFormat="1" applyFont="1" applyFill="1" applyBorder="1"/>
    <xf numFmtId="3" fontId="14" fillId="0" borderId="0" xfId="0" applyFont="1" applyFill="1" applyBorder="1"/>
    <xf numFmtId="164" fontId="14" fillId="0" borderId="0" xfId="0" applyNumberFormat="1" applyFont="1" applyFill="1" applyBorder="1"/>
    <xf numFmtId="3" fontId="0" fillId="0" borderId="0" xfId="0" applyFont="1" applyAlignment="1">
      <alignment vertical="top" wrapText="1"/>
    </xf>
    <xf numFmtId="3" fontId="10" fillId="4" borderId="3" xfId="0" applyFont="1" applyFill="1" applyBorder="1" applyAlignment="1">
      <alignment horizontal="right" vertical="top"/>
    </xf>
    <xf numFmtId="3" fontId="0" fillId="0" borderId="0" xfId="0" applyFont="1" applyFill="1" applyBorder="1" applyAlignment="1"/>
    <xf numFmtId="166" fontId="28" fillId="2" borderId="35" xfId="0" applyNumberFormat="1" applyFont="1" applyFill="1" applyBorder="1" applyAlignment="1">
      <alignment horizontal="center"/>
    </xf>
    <xf numFmtId="165" fontId="27" fillId="2" borderId="15" xfId="0" applyNumberFormat="1" applyFont="1" applyFill="1" applyBorder="1"/>
    <xf numFmtId="3" fontId="25" fillId="0" borderId="0" xfId="0" applyFont="1" applyBorder="1"/>
    <xf numFmtId="3" fontId="10" fillId="0" borderId="3" xfId="0" applyFont="1" applyFill="1" applyBorder="1"/>
    <xf numFmtId="49" fontId="29" fillId="4" borderId="8" xfId="0" applyNumberFormat="1" applyFont="1" applyFill="1" applyBorder="1" applyAlignment="1">
      <alignment horizontal="center"/>
    </xf>
    <xf numFmtId="3" fontId="0" fillId="0" borderId="0" xfId="0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3" fontId="37" fillId="0" borderId="0" xfId="0" applyFont="1" applyFill="1"/>
    <xf numFmtId="4" fontId="29" fillId="4" borderId="0" xfId="0" applyNumberFormat="1" applyFont="1" applyFill="1" applyBorder="1"/>
    <xf numFmtId="4" fontId="35" fillId="3" borderId="0" xfId="0" applyNumberFormat="1" applyFont="1" applyFill="1" applyBorder="1"/>
    <xf numFmtId="4" fontId="35" fillId="0" borderId="0" xfId="0" applyNumberFormat="1" applyFont="1" applyFill="1" applyBorder="1"/>
    <xf numFmtId="3" fontId="15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/>
    <xf numFmtId="4" fontId="0" fillId="0" borderId="0" xfId="0" applyNumberFormat="1" applyFont="1" applyFill="1" applyBorder="1"/>
    <xf numFmtId="4" fontId="1" fillId="0" borderId="0" xfId="0" applyNumberFormat="1" applyFont="1" applyFill="1" applyBorder="1"/>
    <xf numFmtId="3" fontId="0" fillId="0" borderId="0" xfId="0" applyFont="1" applyFill="1" applyBorder="1" applyAlignment="1">
      <alignment horizontal="right"/>
    </xf>
    <xf numFmtId="4" fontId="30" fillId="0" borderId="0" xfId="0" applyNumberFormat="1" applyFont="1" applyFill="1" applyBorder="1"/>
    <xf numFmtId="3" fontId="30" fillId="0" borderId="0" xfId="0" applyFont="1" applyFill="1" applyBorder="1" applyAlignment="1">
      <alignment horizontal="right"/>
    </xf>
    <xf numFmtId="3" fontId="30" fillId="0" borderId="0" xfId="0" applyFont="1" applyFill="1" applyBorder="1" applyAlignment="1">
      <alignment horizontal="left"/>
    </xf>
    <xf numFmtId="3" fontId="22" fillId="0" borderId="0" xfId="0" applyFont="1" applyFill="1" applyBorder="1"/>
    <xf numFmtId="3" fontId="31" fillId="0" borderId="0" xfId="0" applyFont="1" applyFill="1" applyBorder="1"/>
    <xf numFmtId="3" fontId="3" fillId="0" borderId="0" xfId="0" applyFont="1" applyFill="1"/>
    <xf numFmtId="3" fontId="38" fillId="4" borderId="0" xfId="0" applyFont="1" applyFill="1" applyBorder="1"/>
    <xf numFmtId="4" fontId="38" fillId="4" borderId="0" xfId="0" applyNumberFormat="1" applyFont="1" applyFill="1" applyBorder="1"/>
    <xf numFmtId="4" fontId="28" fillId="4" borderId="0" xfId="0" applyNumberFormat="1" applyFont="1" applyFill="1" applyBorder="1"/>
    <xf numFmtId="4" fontId="10" fillId="0" borderId="0" xfId="0" applyNumberFormat="1" applyFont="1" applyFill="1" applyBorder="1"/>
    <xf numFmtId="4" fontId="35" fillId="5" borderId="29" xfId="0" applyNumberFormat="1" applyFont="1" applyFill="1" applyBorder="1"/>
    <xf numFmtId="1" fontId="23" fillId="0" borderId="0" xfId="0" applyNumberFormat="1" applyFont="1" applyFill="1" applyBorder="1" applyAlignment="1">
      <alignment horizontal="center" vertical="center"/>
    </xf>
    <xf numFmtId="1" fontId="28" fillId="4" borderId="3" xfId="0" applyNumberFormat="1" applyFont="1" applyFill="1" applyBorder="1" applyAlignment="1"/>
    <xf numFmtId="3" fontId="0" fillId="0" borderId="3" xfId="0" applyFont="1" applyBorder="1" applyAlignment="1"/>
    <xf numFmtId="1" fontId="39" fillId="4" borderId="3" xfId="0" applyNumberFormat="1" applyFont="1" applyFill="1" applyBorder="1" applyAlignment="1"/>
    <xf numFmtId="3" fontId="25" fillId="4" borderId="0" xfId="0" applyFont="1" applyFill="1" applyBorder="1" applyAlignment="1">
      <alignment horizontal="left" vertical="center"/>
    </xf>
    <xf numFmtId="1" fontId="0" fillId="4" borderId="3" xfId="0" applyNumberFormat="1" applyFont="1" applyFill="1" applyBorder="1" applyAlignment="1"/>
    <xf numFmtId="1" fontId="0" fillId="4" borderId="36" xfId="0" applyNumberFormat="1" applyFont="1" applyFill="1" applyBorder="1" applyAlignment="1">
      <alignment horizontal="center"/>
    </xf>
    <xf numFmtId="49" fontId="28" fillId="2" borderId="32" xfId="0" applyNumberFormat="1" applyFont="1" applyFill="1" applyBorder="1" applyAlignment="1">
      <alignment horizontal="center"/>
    </xf>
    <xf numFmtId="1" fontId="28" fillId="2" borderId="31" xfId="0" applyNumberFormat="1" applyFont="1" applyFill="1" applyBorder="1" applyAlignment="1"/>
    <xf numFmtId="1" fontId="28" fillId="2" borderId="31" xfId="0" applyNumberFormat="1" applyFont="1" applyFill="1" applyBorder="1" applyAlignment="1">
      <alignment horizontal="center"/>
    </xf>
    <xf numFmtId="49" fontId="28" fillId="2" borderId="33" xfId="0" applyNumberFormat="1" applyFont="1" applyFill="1" applyBorder="1" applyAlignment="1">
      <alignment horizontal="left" vertical="top"/>
    </xf>
    <xf numFmtId="3" fontId="26" fillId="2" borderId="39" xfId="0" applyFont="1" applyFill="1" applyBorder="1" applyAlignment="1">
      <alignment horizontal="left" vertical="center"/>
    </xf>
    <xf numFmtId="165" fontId="28" fillId="2" borderId="40" xfId="0" applyNumberFormat="1" applyFont="1" applyFill="1" applyBorder="1"/>
    <xf numFmtId="1" fontId="28" fillId="3" borderId="23" xfId="0" applyNumberFormat="1" applyFont="1" applyFill="1" applyBorder="1" applyAlignment="1">
      <alignment horizontal="center"/>
    </xf>
    <xf numFmtId="165" fontId="27" fillId="2" borderId="40" xfId="0" applyNumberFormat="1" applyFont="1" applyFill="1" applyBorder="1"/>
    <xf numFmtId="3" fontId="10" fillId="0" borderId="3" xfId="0" applyFont="1" applyBorder="1"/>
    <xf numFmtId="3" fontId="10" fillId="0" borderId="0" xfId="0" applyFont="1" applyFill="1" applyBorder="1"/>
    <xf numFmtId="3" fontId="0" fillId="0" borderId="3" xfId="0" applyFont="1" applyBorder="1" applyAlignment="1">
      <alignment vertical="top" wrapText="1"/>
    </xf>
    <xf numFmtId="1" fontId="3" fillId="0" borderId="3" xfId="0" applyNumberFormat="1" applyFont="1" applyFill="1" applyBorder="1" applyAlignment="1">
      <alignment vertical="center" wrapText="1"/>
    </xf>
    <xf numFmtId="3" fontId="0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center"/>
    </xf>
    <xf numFmtId="3" fontId="40" fillId="0" borderId="0" xfId="0" applyFont="1" applyFill="1"/>
    <xf numFmtId="3" fontId="41" fillId="0" borderId="0" xfId="0" applyFont="1" applyFill="1" applyAlignment="1">
      <alignment vertical="center"/>
    </xf>
    <xf numFmtId="1" fontId="20" fillId="0" borderId="12" xfId="0" applyNumberFormat="1" applyFont="1" applyFill="1" applyBorder="1" applyAlignment="1">
      <alignment horizontal="center" vertical="center"/>
    </xf>
    <xf numFmtId="49" fontId="26" fillId="2" borderId="34" xfId="0" applyNumberFormat="1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vertical="center"/>
    </xf>
    <xf numFmtId="3" fontId="26" fillId="2" borderId="29" xfId="0" applyFont="1" applyFill="1" applyBorder="1" applyAlignment="1">
      <alignment horizontal="center" vertical="center"/>
    </xf>
    <xf numFmtId="3" fontId="26" fillId="2" borderId="1" xfId="0" applyFont="1" applyFill="1" applyBorder="1" applyAlignment="1">
      <alignment horizontal="center" vertical="center"/>
    </xf>
    <xf numFmtId="3" fontId="26" fillId="2" borderId="1" xfId="0" applyFont="1" applyFill="1" applyBorder="1" applyAlignment="1">
      <alignment horizontal="right" vertical="center"/>
    </xf>
    <xf numFmtId="3" fontId="26" fillId="2" borderId="1" xfId="0" applyNumberFormat="1" applyFont="1" applyFill="1" applyBorder="1" applyAlignment="1">
      <alignment horizontal="right" vertical="center" wrapText="1"/>
    </xf>
    <xf numFmtId="3" fontId="42" fillId="2" borderId="29" xfId="0" applyFont="1" applyFill="1" applyBorder="1" applyAlignment="1">
      <alignment vertical="center"/>
    </xf>
    <xf numFmtId="3" fontId="26" fillId="2" borderId="29" xfId="0" applyFont="1" applyFill="1" applyBorder="1" applyAlignment="1">
      <alignment vertical="center"/>
    </xf>
    <xf numFmtId="1" fontId="23" fillId="0" borderId="3" xfId="0" applyNumberFormat="1" applyFont="1" applyFill="1" applyBorder="1" applyAlignment="1">
      <alignment vertical="center"/>
    </xf>
    <xf numFmtId="1" fontId="26" fillId="2" borderId="29" xfId="0" applyNumberFormat="1" applyFont="1" applyFill="1" applyBorder="1" applyAlignment="1">
      <alignment horizontal="center" vertical="center"/>
    </xf>
    <xf numFmtId="3" fontId="26" fillId="2" borderId="1" xfId="0" applyNumberFormat="1" applyFont="1" applyFill="1" applyBorder="1" applyAlignment="1">
      <alignment horizontal="right" vertical="center"/>
    </xf>
    <xf numFmtId="3" fontId="40" fillId="0" borderId="0" xfId="0" applyFont="1" applyFill="1" applyAlignment="1">
      <alignment vertical="center" wrapText="1"/>
    </xf>
    <xf numFmtId="3" fontId="0" fillId="0" borderId="3" xfId="0" applyFont="1" applyFill="1" applyBorder="1" applyAlignment="1">
      <alignment vertical="center" wrapText="1"/>
    </xf>
    <xf numFmtId="4" fontId="40" fillId="0" borderId="0" xfId="0" applyNumberFormat="1" applyFont="1" applyFill="1"/>
    <xf numFmtId="4" fontId="8" fillId="5" borderId="0" xfId="0" applyNumberFormat="1" applyFont="1" applyFill="1"/>
    <xf numFmtId="3" fontId="40" fillId="5" borderId="0" xfId="0" applyFont="1" applyFill="1"/>
    <xf numFmtId="3" fontId="8" fillId="5" borderId="0" xfId="0" applyFont="1" applyFill="1"/>
    <xf numFmtId="3" fontId="37" fillId="5" borderId="0" xfId="0" applyFont="1" applyFill="1"/>
    <xf numFmtId="3" fontId="28" fillId="2" borderId="1" xfId="0" applyFont="1" applyFill="1" applyBorder="1"/>
    <xf numFmtId="3" fontId="43" fillId="2" borderId="29" xfId="0" applyFont="1" applyFill="1" applyBorder="1"/>
    <xf numFmtId="3" fontId="43" fillId="4" borderId="0" xfId="0" applyFont="1" applyFill="1" applyBorder="1"/>
    <xf numFmtId="49" fontId="28" fillId="2" borderId="34" xfId="0" applyNumberFormat="1" applyFont="1" applyFill="1" applyBorder="1" applyAlignment="1">
      <alignment horizontal="center"/>
    </xf>
    <xf numFmtId="3" fontId="27" fillId="2" borderId="1" xfId="0" applyFont="1" applyFill="1" applyBorder="1"/>
    <xf numFmtId="3" fontId="0" fillId="0" borderId="3" xfId="0" applyFont="1" applyBorder="1" applyAlignment="1">
      <alignment vertical="top"/>
    </xf>
    <xf numFmtId="3" fontId="0" fillId="0" borderId="3" xfId="0" applyFont="1" applyFill="1" applyBorder="1" applyAlignment="1"/>
    <xf numFmtId="49" fontId="28" fillId="2" borderId="13" xfId="0" applyNumberFormat="1" applyFont="1" applyFill="1" applyBorder="1" applyAlignment="1">
      <alignment horizontal="center"/>
    </xf>
    <xf numFmtId="3" fontId="0" fillId="4" borderId="3" xfId="0" applyFont="1" applyFill="1" applyBorder="1" applyAlignment="1">
      <alignment wrapText="1"/>
    </xf>
    <xf numFmtId="3" fontId="43" fillId="3" borderId="0" xfId="0" applyFont="1" applyFill="1" applyBorder="1"/>
    <xf numFmtId="3" fontId="0" fillId="0" borderId="0" xfId="0" applyFont="1"/>
    <xf numFmtId="3" fontId="0" fillId="0" borderId="0" xfId="0" applyFont="1" applyBorder="1" applyAlignment="1">
      <alignment vertical="top" wrapText="1"/>
    </xf>
    <xf numFmtId="3" fontId="27" fillId="2" borderId="31" xfId="0" applyFont="1" applyFill="1" applyBorder="1"/>
    <xf numFmtId="4" fontId="8" fillId="0" borderId="0" xfId="0" applyNumberFormat="1" applyFont="1" applyFill="1" applyAlignment="1">
      <alignment horizontal="right"/>
    </xf>
    <xf numFmtId="1" fontId="0" fillId="0" borderId="20" xfId="0" applyNumberFormat="1" applyFont="1" applyFill="1" applyBorder="1" applyAlignment="1">
      <alignment horizontal="center" vertical="center" wrapText="1"/>
    </xf>
    <xf numFmtId="3" fontId="43" fillId="0" borderId="0" xfId="0" applyFont="1" applyFill="1" applyBorder="1"/>
    <xf numFmtId="165" fontId="10" fillId="0" borderId="0" xfId="0" applyNumberFormat="1" applyFont="1" applyFill="1" applyBorder="1"/>
    <xf numFmtId="4" fontId="0" fillId="0" borderId="0" xfId="0" applyNumberFormat="1" applyFont="1" applyFill="1" applyAlignment="1">
      <alignment horizontal="right"/>
    </xf>
    <xf numFmtId="3" fontId="3" fillId="0" borderId="0" xfId="0" applyFont="1" applyFill="1" applyAlignment="1">
      <alignment horizontal="right"/>
    </xf>
    <xf numFmtId="3" fontId="14" fillId="2" borderId="30" xfId="0" applyFont="1" applyFill="1" applyBorder="1"/>
    <xf numFmtId="4" fontId="37" fillId="0" borderId="0" xfId="0" applyNumberFormat="1" applyFont="1" applyFill="1"/>
    <xf numFmtId="3" fontId="12" fillId="0" borderId="0" xfId="0" applyFont="1" applyFill="1" applyBorder="1" applyAlignment="1">
      <alignment horizontal="left" wrapText="1"/>
    </xf>
    <xf numFmtId="1" fontId="9" fillId="0" borderId="0" xfId="0" applyNumberFormat="1" applyFont="1" applyFill="1" applyBorder="1" applyAlignment="1">
      <alignment horizontal="left"/>
    </xf>
    <xf numFmtId="3" fontId="44" fillId="0" borderId="0" xfId="0" applyFont="1" applyFill="1" applyBorder="1"/>
    <xf numFmtId="3" fontId="44" fillId="0" borderId="0" xfId="0" applyFont="1" applyFill="1" applyBorder="1" applyAlignment="1">
      <alignment horizontal="center"/>
    </xf>
    <xf numFmtId="3" fontId="44" fillId="0" borderId="0" xfId="0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horizontal="center"/>
    </xf>
    <xf numFmtId="49" fontId="0" fillId="4" borderId="0" xfId="0" applyNumberFormat="1" applyFont="1" applyFill="1" applyAlignment="1">
      <alignment horizontal="center"/>
    </xf>
    <xf numFmtId="3" fontId="0" fillId="4" borderId="0" xfId="0" applyFont="1" applyFill="1" applyAlignment="1">
      <alignment horizontal="center"/>
    </xf>
    <xf numFmtId="3" fontId="37" fillId="4" borderId="0" xfId="0" applyFont="1" applyFill="1"/>
    <xf numFmtId="4" fontId="37" fillId="4" borderId="0" xfId="0" applyNumberFormat="1" applyFont="1" applyFill="1"/>
    <xf numFmtId="3" fontId="0" fillId="4" borderId="30" xfId="0" applyFont="1" applyFill="1" applyBorder="1" applyAlignment="1">
      <alignment horizontal="right"/>
    </xf>
    <xf numFmtId="4" fontId="9" fillId="4" borderId="30" xfId="0" applyNumberFormat="1" applyFont="1" applyFill="1" applyBorder="1" applyAlignment="1">
      <alignment shrinkToFit="1"/>
    </xf>
    <xf numFmtId="1" fontId="0" fillId="4" borderId="26" xfId="0" applyNumberFormat="1" applyFont="1" applyFill="1" applyBorder="1"/>
    <xf numFmtId="3" fontId="0" fillId="4" borderId="26" xfId="0" applyFont="1" applyFill="1" applyBorder="1"/>
    <xf numFmtId="1" fontId="0" fillId="4" borderId="30" xfId="0" applyNumberFormat="1" applyFont="1" applyFill="1" applyBorder="1"/>
    <xf numFmtId="3" fontId="0" fillId="4" borderId="30" xfId="0" applyFont="1" applyFill="1" applyBorder="1"/>
    <xf numFmtId="166" fontId="45" fillId="0" borderId="18" xfId="0" applyNumberFormat="1" applyFont="1" applyFill="1" applyBorder="1" applyAlignment="1">
      <alignment horizontal="center" vertical="center" wrapText="1"/>
    </xf>
    <xf numFmtId="4" fontId="46" fillId="0" borderId="0" xfId="0" applyNumberFormat="1" applyFont="1" applyFill="1" applyAlignment="1">
      <alignment vertical="center"/>
    </xf>
    <xf numFmtId="3" fontId="28" fillId="5" borderId="29" xfId="0" applyFont="1" applyFill="1" applyBorder="1"/>
    <xf numFmtId="3" fontId="48" fillId="2" borderId="29" xfId="0" applyFont="1" applyFill="1" applyBorder="1"/>
    <xf numFmtId="4" fontId="49" fillId="0" borderId="0" xfId="0" applyNumberFormat="1" applyFont="1" applyFill="1"/>
    <xf numFmtId="3" fontId="50" fillId="0" borderId="0" xfId="0" applyFont="1" applyFill="1"/>
    <xf numFmtId="4" fontId="47" fillId="4" borderId="0" xfId="0" applyNumberFormat="1" applyFont="1" applyFill="1" applyBorder="1"/>
    <xf numFmtId="3" fontId="48" fillId="4" borderId="0" xfId="0" applyFont="1" applyFill="1" applyBorder="1"/>
    <xf numFmtId="4" fontId="51" fillId="0" borderId="0" xfId="0" applyNumberFormat="1" applyFont="1" applyFill="1"/>
    <xf numFmtId="3" fontId="9" fillId="4" borderId="3" xfId="0" applyNumberFormat="1" applyFont="1" applyFill="1" applyBorder="1"/>
    <xf numFmtId="3" fontId="9" fillId="0" borderId="18" xfId="0" applyNumberFormat="1" applyFont="1" applyFill="1" applyBorder="1"/>
    <xf numFmtId="3" fontId="19" fillId="0" borderId="8" xfId="0" applyFont="1" applyFill="1" applyBorder="1" applyAlignment="1">
      <alignment wrapText="1"/>
    </xf>
    <xf numFmtId="3" fontId="12" fillId="0" borderId="10" xfId="0" applyNumberFormat="1" applyFont="1" applyFill="1" applyBorder="1"/>
    <xf numFmtId="165" fontId="12" fillId="0" borderId="11" xfId="0" applyNumberFormat="1" applyFont="1" applyFill="1" applyBorder="1"/>
    <xf numFmtId="3" fontId="9" fillId="4" borderId="18" xfId="0" applyNumberFormat="1" applyFont="1" applyFill="1" applyBorder="1"/>
    <xf numFmtId="3" fontId="9" fillId="4" borderId="1" xfId="0" applyNumberFormat="1" applyFont="1" applyFill="1" applyBorder="1"/>
    <xf numFmtId="3" fontId="12" fillId="4" borderId="1" xfId="0" applyNumberFormat="1" applyFont="1" applyFill="1" applyBorder="1"/>
    <xf numFmtId="3" fontId="9" fillId="4" borderId="0" xfId="0" applyNumberFormat="1" applyFont="1" applyFill="1" applyBorder="1" applyAlignment="1">
      <alignment horizontal="right"/>
    </xf>
    <xf numFmtId="3" fontId="12" fillId="4" borderId="22" xfId="0" applyNumberFormat="1" applyFont="1" applyFill="1" applyBorder="1"/>
    <xf numFmtId="3" fontId="3" fillId="4" borderId="0" xfId="0" applyFont="1" applyFill="1" applyBorder="1"/>
    <xf numFmtId="1" fontId="3" fillId="0" borderId="3" xfId="0" applyNumberFormat="1" applyFont="1" applyFill="1" applyBorder="1" applyAlignment="1">
      <alignment vertical="center" wrapText="1"/>
    </xf>
    <xf numFmtId="4" fontId="53" fillId="2" borderId="29" xfId="0" applyNumberFormat="1" applyFont="1" applyFill="1" applyBorder="1" applyAlignment="1">
      <alignment vertical="center"/>
    </xf>
    <xf numFmtId="3" fontId="25" fillId="4" borderId="0" xfId="0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left"/>
    </xf>
    <xf numFmtId="1" fontId="3" fillId="0" borderId="0" xfId="0" applyNumberFormat="1" applyFont="1" applyBorder="1" applyAlignment="1">
      <alignment horizontal="center"/>
    </xf>
    <xf numFmtId="3" fontId="8" fillId="0" borderId="12" xfId="0" applyFont="1" applyFill="1" applyBorder="1"/>
    <xf numFmtId="4" fontId="35" fillId="2" borderId="29" xfId="0" applyNumberFormat="1" applyFont="1" applyFill="1" applyBorder="1"/>
    <xf numFmtId="3" fontId="10" fillId="4" borderId="36" xfId="0" applyFont="1" applyFill="1" applyBorder="1"/>
    <xf numFmtId="49" fontId="20" fillId="4" borderId="12" xfId="0" applyNumberFormat="1" applyFont="1" applyFill="1" applyBorder="1" applyAlignment="1">
      <alignment horizontal="center" vertical="center"/>
    </xf>
    <xf numFmtId="1" fontId="23" fillId="4" borderId="3" xfId="0" applyNumberFormat="1" applyFont="1" applyFill="1" applyBorder="1" applyAlignment="1">
      <alignment vertical="center"/>
    </xf>
    <xf numFmtId="1" fontId="23" fillId="4" borderId="0" xfId="0" applyNumberFormat="1" applyFont="1" applyFill="1" applyBorder="1" applyAlignment="1">
      <alignment horizontal="center" vertical="center"/>
    </xf>
    <xf numFmtId="3" fontId="20" fillId="4" borderId="3" xfId="0" applyFont="1" applyFill="1" applyBorder="1" applyAlignment="1">
      <alignment horizontal="center" vertical="center"/>
    </xf>
    <xf numFmtId="3" fontId="4" fillId="4" borderId="0" xfId="0" applyFont="1" applyFill="1" applyBorder="1" applyAlignment="1">
      <alignment vertical="top"/>
    </xf>
    <xf numFmtId="165" fontId="10" fillId="4" borderId="2" xfId="0" applyNumberFormat="1" applyFont="1" applyFill="1" applyBorder="1" applyAlignment="1">
      <alignment vertical="center" wrapText="1"/>
    </xf>
    <xf numFmtId="4" fontId="53" fillId="4" borderId="0" xfId="0" applyNumberFormat="1" applyFont="1" applyFill="1" applyBorder="1" applyAlignment="1">
      <alignment vertical="center"/>
    </xf>
    <xf numFmtId="3" fontId="42" fillId="4" borderId="0" xfId="0" applyFont="1" applyFill="1" applyBorder="1" applyAlignment="1">
      <alignment vertical="center"/>
    </xf>
    <xf numFmtId="3" fontId="26" fillId="4" borderId="0" xfId="0" applyFont="1" applyFill="1" applyBorder="1" applyAlignment="1">
      <alignment vertical="center"/>
    </xf>
    <xf numFmtId="3" fontId="15" fillId="0" borderId="8" xfId="0" applyFont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center" wrapText="1"/>
    </xf>
    <xf numFmtId="4" fontId="29" fillId="2" borderId="29" xfId="0" applyNumberFormat="1" applyFont="1" applyFill="1" applyBorder="1"/>
    <xf numFmtId="3" fontId="10" fillId="4" borderId="36" xfId="0" applyFont="1" applyFill="1" applyBorder="1" applyAlignment="1">
      <alignment horizontal="right" vertical="top"/>
    </xf>
    <xf numFmtId="3" fontId="27" fillId="2" borderId="31" xfId="0" applyFont="1" applyFill="1" applyBorder="1" applyAlignment="1"/>
    <xf numFmtId="3" fontId="10" fillId="4" borderId="3" xfId="0" applyFont="1" applyFill="1" applyBorder="1" applyAlignment="1">
      <alignment horizontal="right"/>
    </xf>
    <xf numFmtId="2" fontId="35" fillId="2" borderId="29" xfId="0" applyNumberFormat="1" applyFont="1" applyFill="1" applyBorder="1"/>
    <xf numFmtId="3" fontId="25" fillId="0" borderId="0" xfId="0" applyFont="1"/>
    <xf numFmtId="1" fontId="3" fillId="0" borderId="36" xfId="0" applyNumberFormat="1" applyFont="1" applyFill="1" applyBorder="1" applyAlignment="1">
      <alignment horizontal="center"/>
    </xf>
    <xf numFmtId="165" fontId="10" fillId="4" borderId="2" xfId="0" applyNumberFormat="1" applyFont="1" applyFill="1" applyBorder="1"/>
    <xf numFmtId="3" fontId="55" fillId="0" borderId="0" xfId="0" applyFont="1" applyFill="1"/>
    <xf numFmtId="1" fontId="0" fillId="4" borderId="0" xfId="0" applyNumberFormat="1" applyFont="1" applyFill="1" applyAlignment="1">
      <alignment horizontal="center" vertical="center"/>
    </xf>
    <xf numFmtId="49" fontId="15" fillId="4" borderId="37" xfId="0" applyNumberFormat="1" applyFont="1" applyFill="1" applyBorder="1" applyAlignment="1">
      <alignment horizontal="center"/>
    </xf>
    <xf numFmtId="1" fontId="0" fillId="4" borderId="41" xfId="0" applyNumberFormat="1" applyFont="1" applyFill="1" applyBorder="1" applyAlignment="1">
      <alignment horizontal="center"/>
    </xf>
    <xf numFmtId="3" fontId="27" fillId="2" borderId="1" xfId="0" applyFont="1" applyFill="1" applyBorder="1" applyAlignment="1">
      <alignment horizontal="right" vertical="top"/>
    </xf>
    <xf numFmtId="3" fontId="27" fillId="2" borderId="29" xfId="0" applyFont="1" applyFill="1" applyBorder="1" applyAlignment="1">
      <alignment horizontal="right" vertical="top"/>
    </xf>
    <xf numFmtId="3" fontId="27" fillId="2" borderId="29" xfId="0" applyFont="1" applyFill="1" applyBorder="1"/>
    <xf numFmtId="49" fontId="62" fillId="0" borderId="0" xfId="0" applyNumberFormat="1" applyFont="1" applyFill="1" applyBorder="1" applyAlignment="1">
      <alignment horizontal="left"/>
    </xf>
    <xf numFmtId="3" fontId="62" fillId="0" borderId="0" xfId="0" applyFont="1" applyBorder="1" applyAlignment="1">
      <alignment horizontal="left"/>
    </xf>
    <xf numFmtId="3" fontId="14" fillId="0" borderId="29" xfId="0" applyFont="1" applyFill="1" applyBorder="1"/>
    <xf numFmtId="164" fontId="14" fillId="0" borderId="29" xfId="0" applyNumberFormat="1" applyFont="1" applyFill="1" applyBorder="1"/>
    <xf numFmtId="4" fontId="0" fillId="4" borderId="26" xfId="0" applyNumberFormat="1" applyFont="1" applyFill="1" applyBorder="1"/>
    <xf numFmtId="3" fontId="9" fillId="4" borderId="29" xfId="0" applyFont="1" applyFill="1" applyBorder="1"/>
    <xf numFmtId="3" fontId="9" fillId="4" borderId="29" xfId="0" applyFont="1" applyFill="1" applyBorder="1" applyAlignment="1">
      <alignment horizontal="right"/>
    </xf>
    <xf numFmtId="4" fontId="9" fillId="4" borderId="29" xfId="0" applyNumberFormat="1" applyFont="1" applyFill="1" applyBorder="1"/>
    <xf numFmtId="4" fontId="40" fillId="0" borderId="0" xfId="0" applyNumberFormat="1" applyFont="1" applyFill="1" applyBorder="1"/>
    <xf numFmtId="4" fontId="0" fillId="0" borderId="29" xfId="0" applyNumberFormat="1" applyFont="1" applyFill="1" applyBorder="1"/>
    <xf numFmtId="4" fontId="10" fillId="0" borderId="42" xfId="0" applyNumberFormat="1" applyFont="1" applyFill="1" applyBorder="1"/>
    <xf numFmtId="4" fontId="9" fillId="0" borderId="42" xfId="0" applyNumberFormat="1" applyFont="1" applyFill="1" applyBorder="1"/>
    <xf numFmtId="4" fontId="9" fillId="0" borderId="29" xfId="0" applyNumberFormat="1" applyFont="1" applyFill="1" applyBorder="1"/>
    <xf numFmtId="3" fontId="52" fillId="4" borderId="0" xfId="0" applyFont="1" applyFill="1"/>
    <xf numFmtId="166" fontId="63" fillId="4" borderId="0" xfId="0" applyNumberFormat="1" applyFont="1" applyFill="1" applyAlignment="1">
      <alignment horizontal="left"/>
    </xf>
    <xf numFmtId="166" fontId="63" fillId="4" borderId="0" xfId="0" applyNumberFormat="1" applyFont="1" applyFill="1" applyAlignment="1">
      <alignment horizontal="center"/>
    </xf>
    <xf numFmtId="3" fontId="32" fillId="4" borderId="0" xfId="0" applyFont="1" applyFill="1"/>
    <xf numFmtId="166" fontId="63" fillId="4" borderId="30" xfId="0" applyNumberFormat="1" applyFont="1" applyFill="1" applyBorder="1" applyAlignment="1">
      <alignment horizontal="center"/>
    </xf>
    <xf numFmtId="166" fontId="63" fillId="4" borderId="26" xfId="0" applyNumberFormat="1" applyFont="1" applyFill="1" applyBorder="1" applyAlignment="1">
      <alignment horizontal="center"/>
    </xf>
    <xf numFmtId="166" fontId="63" fillId="4" borderId="30" xfId="0" applyNumberFormat="1" applyFont="1" applyFill="1" applyBorder="1" applyAlignment="1">
      <alignment horizontal="left"/>
    </xf>
    <xf numFmtId="3" fontId="52" fillId="4" borderId="30" xfId="0" applyFont="1" applyFill="1" applyBorder="1"/>
    <xf numFmtId="3" fontId="52" fillId="4" borderId="26" xfId="0" applyFont="1" applyFill="1" applyBorder="1"/>
    <xf numFmtId="1" fontId="32" fillId="4" borderId="0" xfId="0" applyNumberFormat="1" applyFont="1" applyFill="1"/>
    <xf numFmtId="3" fontId="32" fillId="4" borderId="30" xfId="0" applyFont="1" applyFill="1" applyBorder="1" applyAlignment="1">
      <alignment horizontal="right"/>
    </xf>
    <xf numFmtId="3" fontId="37" fillId="0" borderId="0" xfId="0" applyFont="1" applyFill="1" applyBorder="1"/>
    <xf numFmtId="49" fontId="56" fillId="0" borderId="0" xfId="0" applyNumberFormat="1" applyFont="1" applyFill="1" applyBorder="1" applyAlignment="1">
      <alignment horizontal="center" vertical="center" wrapText="1"/>
    </xf>
    <xf numFmtId="3" fontId="57" fillId="0" borderId="0" xfId="0" applyFont="1" applyFill="1" applyBorder="1" applyAlignment="1">
      <alignment vertical="center" wrapText="1"/>
    </xf>
    <xf numFmtId="1" fontId="57" fillId="0" borderId="0" xfId="0" applyNumberFormat="1" applyFont="1" applyBorder="1" applyAlignment="1">
      <alignment horizontal="center"/>
    </xf>
    <xf numFmtId="3" fontId="57" fillId="0" borderId="0" xfId="0" applyFont="1" applyBorder="1" applyAlignment="1">
      <alignment horizontal="left" vertical="center" wrapText="1"/>
    </xf>
    <xf numFmtId="3" fontId="57" fillId="0" borderId="0" xfId="0" applyFont="1" applyBorder="1" applyAlignment="1">
      <alignment vertical="top" wrapText="1"/>
    </xf>
    <xf numFmtId="165" fontId="58" fillId="0" borderId="0" xfId="0" applyNumberFormat="1" applyFont="1" applyFill="1" applyBorder="1"/>
    <xf numFmtId="3" fontId="0" fillId="0" borderId="0" xfId="0" applyFont="1" applyFill="1" applyBorder="1"/>
    <xf numFmtId="4" fontId="33" fillId="0" borderId="0" xfId="0" applyNumberFormat="1" applyFont="1" applyFill="1" applyBorder="1"/>
    <xf numFmtId="3" fontId="28" fillId="2" borderId="0" xfId="0" applyFont="1" applyFill="1" applyBorder="1"/>
    <xf numFmtId="4" fontId="35" fillId="2" borderId="0" xfId="0" applyNumberFormat="1" applyFont="1" applyFill="1" applyBorder="1"/>
    <xf numFmtId="3" fontId="43" fillId="2" borderId="0" xfId="0" applyFont="1" applyFill="1" applyBorder="1"/>
    <xf numFmtId="49" fontId="59" fillId="4" borderId="0" xfId="0" applyNumberFormat="1" applyFont="1" applyFill="1" applyBorder="1" applyAlignment="1">
      <alignment horizontal="center"/>
    </xf>
    <xf numFmtId="1" fontId="59" fillId="4" borderId="0" xfId="0" applyNumberFormat="1" applyFont="1" applyFill="1" applyBorder="1" applyAlignment="1"/>
    <xf numFmtId="1" fontId="59" fillId="4" borderId="0" xfId="0" applyNumberFormat="1" applyFont="1" applyFill="1" applyBorder="1" applyAlignment="1">
      <alignment horizontal="center"/>
    </xf>
    <xf numFmtId="49" fontId="59" fillId="4" borderId="0" xfId="0" applyNumberFormat="1" applyFont="1" applyFill="1" applyBorder="1" applyAlignment="1">
      <alignment horizontal="left" vertical="top"/>
    </xf>
    <xf numFmtId="3" fontId="60" fillId="4" borderId="0" xfId="0" applyFont="1" applyFill="1" applyBorder="1" applyAlignment="1">
      <alignment horizontal="left" vertical="center"/>
    </xf>
    <xf numFmtId="3" fontId="61" fillId="4" borderId="0" xfId="0" applyFont="1" applyFill="1" applyBorder="1"/>
    <xf numFmtId="165" fontId="59" fillId="4" borderId="0" xfId="0" applyNumberFormat="1" applyFont="1" applyFill="1" applyBorder="1"/>
    <xf numFmtId="165" fontId="27" fillId="4" borderId="0" xfId="0" applyNumberFormat="1" applyFont="1" applyFill="1" applyBorder="1"/>
    <xf numFmtId="3" fontId="28" fillId="2" borderId="43" xfId="0" applyFont="1" applyFill="1" applyBorder="1"/>
    <xf numFmtId="4" fontId="28" fillId="2" borderId="43" xfId="0" applyNumberFormat="1" applyFont="1" applyFill="1" applyBorder="1"/>
    <xf numFmtId="49" fontId="8" fillId="0" borderId="8" xfId="0" applyNumberFormat="1" applyFont="1" applyFill="1" applyBorder="1" applyAlignment="1">
      <alignment horizontal="center" vertical="center" wrapText="1"/>
    </xf>
    <xf numFmtId="3" fontId="0" fillId="0" borderId="3" xfId="0" applyFont="1" applyBorder="1" applyAlignment="1">
      <alignment vertical="top" wrapText="1"/>
    </xf>
    <xf numFmtId="3" fontId="0" fillId="0" borderId="3" xfId="0" applyBorder="1" applyAlignment="1">
      <alignment vertical="top" wrapText="1"/>
    </xf>
    <xf numFmtId="3" fontId="0" fillId="0" borderId="3" xfId="0" applyBorder="1" applyAlignment="1">
      <alignment vertical="center" wrapText="1"/>
    </xf>
    <xf numFmtId="3" fontId="0" fillId="0" borderId="3" xfId="0" applyFont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/>
    </xf>
    <xf numFmtId="3" fontId="0" fillId="0" borderId="0" xfId="0" applyBorder="1" applyAlignment="1">
      <alignment horizontal="center"/>
    </xf>
    <xf numFmtId="3" fontId="0" fillId="0" borderId="3" xfId="0" applyBorder="1" applyAlignment="1">
      <alignment vertical="center"/>
    </xf>
    <xf numFmtId="3" fontId="0" fillId="0" borderId="3" xfId="0" applyFont="1" applyFill="1" applyBorder="1"/>
    <xf numFmtId="165" fontId="0" fillId="0" borderId="21" xfId="0" applyNumberFormat="1" applyFont="1" applyFill="1" applyBorder="1" applyAlignment="1">
      <alignment vertical="center"/>
    </xf>
    <xf numFmtId="165" fontId="0" fillId="0" borderId="2" xfId="0" applyNumberFormat="1" applyFont="1" applyFill="1" applyBorder="1"/>
    <xf numFmtId="3" fontId="0" fillId="4" borderId="3" xfId="0" applyFont="1" applyFill="1" applyBorder="1"/>
    <xf numFmtId="3" fontId="0" fillId="4" borderId="0" xfId="0" applyFont="1" applyFill="1" applyBorder="1"/>
    <xf numFmtId="165" fontId="0" fillId="0" borderId="2" xfId="0" applyNumberFormat="1" applyFont="1" applyFill="1" applyBorder="1" applyAlignment="1">
      <alignment vertical="center" wrapText="1"/>
    </xf>
    <xf numFmtId="165" fontId="0" fillId="0" borderId="2" xfId="0" applyNumberFormat="1" applyFont="1" applyFill="1" applyBorder="1" applyAlignment="1">
      <alignment vertical="top"/>
    </xf>
    <xf numFmtId="3" fontId="3" fillId="4" borderId="3" xfId="0" applyFont="1" applyFill="1" applyBorder="1"/>
    <xf numFmtId="3" fontId="3" fillId="0" borderId="3" xfId="0" applyFont="1" applyFill="1" applyBorder="1" applyAlignment="1">
      <alignment horizontal="right"/>
    </xf>
    <xf numFmtId="3" fontId="0" fillId="0" borderId="3" xfId="0" applyFont="1" applyFill="1" applyBorder="1" applyAlignment="1">
      <alignment vertical="top"/>
    </xf>
    <xf numFmtId="3" fontId="3" fillId="0" borderId="3" xfId="0" applyFont="1" applyFill="1" applyBorder="1" applyAlignment="1">
      <alignment horizontal="right" vertical="top"/>
    </xf>
    <xf numFmtId="3" fontId="23" fillId="0" borderId="3" xfId="0" applyFont="1" applyFill="1" applyBorder="1" applyAlignment="1">
      <alignment horizontal="center" vertical="center"/>
    </xf>
    <xf numFmtId="3" fontId="3" fillId="4" borderId="3" xfId="0" applyFont="1" applyFill="1" applyBorder="1" applyAlignment="1">
      <alignment horizontal="right"/>
    </xf>
    <xf numFmtId="3" fontId="0" fillId="4" borderId="3" xfId="0" applyFont="1" applyFill="1" applyBorder="1" applyAlignment="1">
      <alignment vertical="center"/>
    </xf>
    <xf numFmtId="3" fontId="0" fillId="0" borderId="3" xfId="0" applyFont="1" applyFill="1" applyBorder="1" applyAlignment="1">
      <alignment vertical="center"/>
    </xf>
    <xf numFmtId="3" fontId="3" fillId="0" borderId="3" xfId="0" applyFont="1" applyFill="1" applyBorder="1" applyAlignment="1">
      <alignment horizontal="right" vertical="center"/>
    </xf>
    <xf numFmtId="165" fontId="0" fillId="0" borderId="2" xfId="0" applyNumberFormat="1" applyFont="1" applyFill="1" applyBorder="1" applyAlignment="1">
      <alignment vertical="center"/>
    </xf>
    <xf numFmtId="3" fontId="8" fillId="0" borderId="29" xfId="0" applyFont="1" applyFill="1" applyBorder="1"/>
    <xf numFmtId="3" fontId="40" fillId="0" borderId="0" xfId="0" applyFont="1" applyFill="1" applyBorder="1"/>
    <xf numFmtId="3" fontId="8" fillId="0" borderId="0" xfId="0" applyFont="1" applyFill="1" applyBorder="1"/>
    <xf numFmtId="3" fontId="3" fillId="4" borderId="3" xfId="0" applyFont="1" applyFill="1" applyBorder="1" applyAlignment="1">
      <alignment vertical="center"/>
    </xf>
    <xf numFmtId="3" fontId="3" fillId="4" borderId="0" xfId="0" applyFont="1" applyFill="1" applyBorder="1" applyAlignment="1">
      <alignment horizontal="right" vertical="top"/>
    </xf>
    <xf numFmtId="3" fontId="3" fillId="4" borderId="3" xfId="0" applyFont="1" applyFill="1" applyBorder="1" applyAlignment="1">
      <alignment horizontal="right" vertical="top"/>
    </xf>
    <xf numFmtId="49" fontId="8" fillId="0" borderId="1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vertical="center"/>
    </xf>
    <xf numFmtId="3" fontId="4" fillId="0" borderId="0" xfId="0" applyFont="1" applyFill="1" applyBorder="1" applyAlignment="1">
      <alignment vertical="center" wrapText="1"/>
    </xf>
    <xf numFmtId="3" fontId="4" fillId="4" borderId="3" xfId="0" applyFont="1" applyFill="1" applyBorder="1" applyAlignment="1">
      <alignment vertical="center"/>
    </xf>
    <xf numFmtId="3" fontId="4" fillId="4" borderId="0" xfId="0" applyFont="1" applyFill="1" applyBorder="1" applyAlignment="1">
      <alignment horizontal="right" vertical="center"/>
    </xf>
    <xf numFmtId="3" fontId="0" fillId="0" borderId="3" xfId="0" applyFont="1" applyBorder="1"/>
    <xf numFmtId="3" fontId="0" fillId="0" borderId="3" xfId="0" applyFont="1" applyBorder="1" applyAlignment="1">
      <alignment vertical="center"/>
    </xf>
    <xf numFmtId="3" fontId="0" fillId="0" borderId="0" xfId="0" applyFont="1" applyFill="1" applyBorder="1" applyAlignment="1">
      <alignment vertical="center"/>
    </xf>
    <xf numFmtId="3" fontId="0" fillId="0" borderId="0" xfId="0" applyFont="1" applyFill="1" applyBorder="1" applyAlignment="1">
      <alignment horizontal="right" vertical="center"/>
    </xf>
    <xf numFmtId="165" fontId="0" fillId="0" borderId="21" xfId="0" applyNumberFormat="1" applyFont="1" applyFill="1" applyBorder="1"/>
    <xf numFmtId="3" fontId="48" fillId="2" borderId="0" xfId="0" applyFont="1" applyFill="1" applyBorder="1"/>
    <xf numFmtId="3" fontId="0" fillId="4" borderId="0" xfId="0" applyFont="1" applyFill="1" applyBorder="1" applyAlignment="1">
      <alignment horizontal="right" vertical="top"/>
    </xf>
    <xf numFmtId="3" fontId="0" fillId="4" borderId="23" xfId="0" applyFont="1" applyFill="1" applyBorder="1" applyAlignment="1">
      <alignment horizontal="right" vertical="top"/>
    </xf>
    <xf numFmtId="3" fontId="0" fillId="4" borderId="23" xfId="0" applyFont="1" applyFill="1" applyBorder="1"/>
    <xf numFmtId="165" fontId="0" fillId="4" borderId="21" xfId="0" applyNumberFormat="1" applyFont="1" applyFill="1" applyBorder="1"/>
    <xf numFmtId="3" fontId="0" fillId="4" borderId="3" xfId="0" applyFont="1" applyFill="1" applyBorder="1" applyAlignment="1">
      <alignment horizontal="right"/>
    </xf>
    <xf numFmtId="3" fontId="10" fillId="4" borderId="0" xfId="0" applyFont="1" applyFill="1" applyBorder="1" applyAlignment="1">
      <alignment vertical="top"/>
    </xf>
    <xf numFmtId="3" fontId="0" fillId="3" borderId="3" xfId="0" applyFont="1" applyFill="1" applyBorder="1"/>
    <xf numFmtId="3" fontId="0" fillId="3" borderId="3" xfId="0" applyFont="1" applyFill="1" applyBorder="1" applyAlignment="1">
      <alignment vertical="top"/>
    </xf>
    <xf numFmtId="1" fontId="3" fillId="0" borderId="3" xfId="0" applyNumberFormat="1" applyFont="1" applyFill="1" applyBorder="1" applyAlignment="1">
      <alignment horizontal="center" vertical="center"/>
    </xf>
    <xf numFmtId="3" fontId="0" fillId="0" borderId="20" xfId="0" applyFont="1" applyFill="1" applyBorder="1" applyAlignment="1">
      <alignment vertical="center" wrapText="1"/>
    </xf>
    <xf numFmtId="3" fontId="28" fillId="4" borderId="0" xfId="0" applyFont="1" applyFill="1" applyBorder="1" applyAlignment="1">
      <alignment vertical="center"/>
    </xf>
    <xf numFmtId="4" fontId="35" fillId="4" borderId="0" xfId="0" applyNumberFormat="1" applyFont="1" applyFill="1" applyBorder="1" applyAlignment="1">
      <alignment vertical="center"/>
    </xf>
    <xf numFmtId="3" fontId="43" fillId="4" borderId="0" xfId="0" applyFont="1" applyFill="1" applyBorder="1" applyAlignment="1">
      <alignment vertical="center"/>
    </xf>
    <xf numFmtId="1" fontId="3" fillId="0" borderId="20" xfId="0" applyNumberFormat="1" applyFont="1" applyFill="1" applyBorder="1" applyAlignment="1">
      <alignment vertical="center"/>
    </xf>
    <xf numFmtId="3" fontId="23" fillId="4" borderId="0" xfId="0" applyFont="1" applyFill="1" applyBorder="1" applyAlignment="1">
      <alignment horizontal="left" vertical="center" wrapText="1"/>
    </xf>
    <xf numFmtId="3" fontId="52" fillId="5" borderId="30" xfId="0" applyFont="1" applyFill="1" applyBorder="1"/>
    <xf numFmtId="3" fontId="25" fillId="0" borderId="3" xfId="0" applyFont="1" applyFill="1" applyBorder="1" applyAlignment="1">
      <alignment horizontal="right" vertical="center"/>
    </xf>
    <xf numFmtId="4" fontId="64" fillId="4" borderId="0" xfId="0" applyNumberFormat="1" applyFont="1" applyFill="1"/>
    <xf numFmtId="49" fontId="8" fillId="0" borderId="4" xfId="0" applyNumberFormat="1" applyFont="1" applyFill="1" applyBorder="1" applyAlignment="1">
      <alignment horizontal="center" vertical="center"/>
    </xf>
    <xf numFmtId="4" fontId="52" fillId="4" borderId="0" xfId="0" applyNumberFormat="1" applyFont="1" applyFill="1"/>
    <xf numFmtId="4" fontId="9" fillId="7" borderId="30" xfId="0" applyNumberFormat="1" applyFont="1" applyFill="1" applyBorder="1" applyAlignment="1">
      <alignment shrinkToFit="1"/>
    </xf>
    <xf numFmtId="4" fontId="52" fillId="0" borderId="0" xfId="0" applyNumberFormat="1" applyFont="1" applyFill="1" applyBorder="1"/>
    <xf numFmtId="49" fontId="8" fillId="0" borderId="8" xfId="0" applyNumberFormat="1" applyFont="1" applyFill="1" applyBorder="1" applyAlignment="1">
      <alignment horizontal="center" vertical="center"/>
    </xf>
    <xf numFmtId="4" fontId="47" fillId="2" borderId="29" xfId="0" applyNumberFormat="1" applyFont="1" applyFill="1" applyBorder="1"/>
    <xf numFmtId="4" fontId="32" fillId="0" borderId="0" xfId="0" applyNumberFormat="1" applyFont="1" applyFill="1" applyBorder="1"/>
    <xf numFmtId="3" fontId="15" fillId="0" borderId="18" xfId="0" applyFont="1" applyFill="1" applyBorder="1" applyAlignment="1">
      <alignment horizontal="center" vertical="center" wrapText="1"/>
    </xf>
    <xf numFmtId="1" fontId="0" fillId="0" borderId="20" xfId="0" applyNumberFormat="1" applyFont="1" applyFill="1" applyBorder="1" applyAlignment="1">
      <alignment horizont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2" fontId="23" fillId="0" borderId="3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horizontal="center" vertical="top"/>
    </xf>
    <xf numFmtId="49" fontId="11" fillId="0" borderId="3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top" wrapText="1"/>
    </xf>
    <xf numFmtId="166" fontId="11" fillId="0" borderId="3" xfId="0" applyNumberFormat="1" applyFont="1" applyFill="1" applyBorder="1" applyAlignment="1">
      <alignment horizontal="center" vertical="center"/>
    </xf>
    <xf numFmtId="49" fontId="11" fillId="0" borderId="36" xfId="0" applyNumberFormat="1" applyFont="1" applyBorder="1" applyAlignment="1">
      <alignment horizontal="center" vertical="top"/>
    </xf>
    <xf numFmtId="1" fontId="3" fillId="0" borderId="0" xfId="0" applyNumberFormat="1" applyFont="1" applyFill="1" applyBorder="1" applyAlignment="1">
      <alignment horizontal="center" vertical="top"/>
    </xf>
    <xf numFmtId="3" fontId="4" fillId="4" borderId="3" xfId="0" applyFont="1" applyFill="1" applyBorder="1" applyAlignment="1">
      <alignment vertical="top"/>
    </xf>
    <xf numFmtId="165" fontId="10" fillId="0" borderId="2" xfId="0" applyNumberFormat="1" applyFont="1" applyFill="1" applyBorder="1" applyAlignment="1">
      <alignment vertical="top"/>
    </xf>
    <xf numFmtId="49" fontId="11" fillId="0" borderId="20" xfId="0" applyNumberFormat="1" applyFont="1" applyBorder="1" applyAlignment="1">
      <alignment horizontal="center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66" fontId="11" fillId="0" borderId="20" xfId="0" applyNumberFormat="1" applyFont="1" applyFill="1" applyBorder="1" applyAlignment="1">
      <alignment horizontal="center" vertical="center"/>
    </xf>
    <xf numFmtId="3" fontId="0" fillId="4" borderId="3" xfId="0" applyFont="1" applyFill="1" applyBorder="1" applyAlignment="1">
      <alignment vertical="top"/>
    </xf>
    <xf numFmtId="3" fontId="0" fillId="4" borderId="3" xfId="0" applyFont="1" applyFill="1" applyBorder="1" applyAlignment="1">
      <alignment horizontal="right" vertical="top"/>
    </xf>
    <xf numFmtId="3" fontId="0" fillId="4" borderId="0" xfId="0" applyFont="1" applyFill="1" applyBorder="1" applyAlignment="1">
      <alignment vertical="top"/>
    </xf>
    <xf numFmtId="165" fontId="0" fillId="0" borderId="21" xfId="0" applyNumberFormat="1" applyFont="1" applyFill="1" applyBorder="1" applyAlignment="1">
      <alignment vertical="top"/>
    </xf>
    <xf numFmtId="165" fontId="0" fillId="4" borderId="21" xfId="0" applyNumberFormat="1" applyFont="1" applyFill="1" applyBorder="1" applyAlignment="1">
      <alignment vertical="top"/>
    </xf>
    <xf numFmtId="49" fontId="16" fillId="4" borderId="20" xfId="0" applyNumberFormat="1" applyFont="1" applyFill="1" applyBorder="1" applyAlignment="1">
      <alignment horizontal="center" vertical="top"/>
    </xf>
    <xf numFmtId="49" fontId="16" fillId="4" borderId="20" xfId="0" applyNumberFormat="1" applyFont="1" applyFill="1" applyBorder="1" applyAlignment="1">
      <alignment horizontal="center" vertical="center"/>
    </xf>
    <xf numFmtId="49" fontId="16" fillId="4" borderId="3" xfId="0" applyNumberFormat="1" applyFont="1" applyFill="1" applyBorder="1" applyAlignment="1">
      <alignment horizontal="center" vertical="center"/>
    </xf>
    <xf numFmtId="165" fontId="3" fillId="0" borderId="21" xfId="0" applyNumberFormat="1" applyFont="1" applyFill="1" applyBorder="1" applyAlignment="1">
      <alignment vertical="top"/>
    </xf>
    <xf numFmtId="3" fontId="3" fillId="0" borderId="3" xfId="0" applyFont="1" applyFill="1" applyBorder="1" applyAlignment="1">
      <alignment vertical="top"/>
    </xf>
    <xf numFmtId="3" fontId="0" fillId="0" borderId="0" xfId="0" applyBorder="1" applyAlignment="1">
      <alignment vertical="top"/>
    </xf>
    <xf numFmtId="3" fontId="0" fillId="0" borderId="3" xfId="0" applyBorder="1" applyAlignment="1">
      <alignment vertical="top"/>
    </xf>
    <xf numFmtId="165" fontId="11" fillId="4" borderId="0" xfId="0" applyNumberFormat="1" applyFont="1" applyFill="1" applyBorder="1"/>
    <xf numFmtId="3" fontId="0" fillId="0" borderId="3" xfId="0" applyBorder="1" applyAlignment="1">
      <alignment vertical="top" wrapText="1"/>
    </xf>
    <xf numFmtId="3" fontId="0" fillId="0" borderId="3" xfId="0" applyFont="1" applyFill="1" applyBorder="1" applyAlignment="1">
      <alignment vertical="top"/>
    </xf>
    <xf numFmtId="165" fontId="0" fillId="0" borderId="21" xfId="0" applyNumberFormat="1" applyFont="1" applyFill="1" applyBorder="1" applyAlignment="1">
      <alignment vertical="top"/>
    </xf>
    <xf numFmtId="1" fontId="3" fillId="0" borderId="3" xfId="0" applyNumberFormat="1" applyFont="1" applyFill="1" applyBorder="1" applyAlignment="1">
      <alignment vertical="center" wrapText="1"/>
    </xf>
    <xf numFmtId="3" fontId="0" fillId="4" borderId="3" xfId="0" applyFont="1" applyFill="1" applyBorder="1" applyAlignment="1">
      <alignment vertical="top"/>
    </xf>
    <xf numFmtId="3" fontId="0" fillId="0" borderId="3" xfId="0" applyBorder="1" applyAlignment="1">
      <alignment vertical="top"/>
    </xf>
    <xf numFmtId="3" fontId="3" fillId="4" borderId="3" xfId="0" applyFont="1" applyFill="1" applyBorder="1" applyAlignment="1">
      <alignment vertical="top"/>
    </xf>
    <xf numFmtId="3" fontId="0" fillId="0" borderId="3" xfId="0" applyFont="1" applyFill="1" applyBorder="1" applyAlignment="1">
      <alignment vertical="center"/>
    </xf>
    <xf numFmtId="3" fontId="3" fillId="0" borderId="3" xfId="0" applyFont="1" applyFill="1" applyBorder="1" applyAlignment="1">
      <alignment horizontal="right" vertical="top"/>
    </xf>
    <xf numFmtId="165" fontId="0" fillId="0" borderId="21" xfId="0" applyNumberFormat="1" applyFont="1" applyFill="1" applyBorder="1" applyAlignment="1">
      <alignment vertical="top"/>
    </xf>
    <xf numFmtId="3" fontId="0" fillId="0" borderId="3" xfId="0" applyFont="1" applyFill="1" applyBorder="1" applyAlignment="1">
      <alignment vertical="center"/>
    </xf>
    <xf numFmtId="3" fontId="0" fillId="4" borderId="3" xfId="0" applyFont="1" applyFill="1" applyBorder="1" applyAlignment="1">
      <alignment vertical="top"/>
    </xf>
    <xf numFmtId="3" fontId="0" fillId="0" borderId="3" xfId="0" applyFont="1" applyBorder="1" applyAlignment="1">
      <alignment vertical="top"/>
    </xf>
    <xf numFmtId="49" fontId="8" fillId="0" borderId="8" xfId="0" applyNumberFormat="1" applyFont="1" applyFill="1" applyBorder="1" applyAlignment="1">
      <alignment horizontal="center" vertical="center" wrapText="1"/>
    </xf>
    <xf numFmtId="3" fontId="0" fillId="0" borderId="3" xfId="0" applyFont="1" applyBorder="1" applyAlignment="1">
      <alignment vertical="top" wrapText="1"/>
    </xf>
    <xf numFmtId="49" fontId="11" fillId="0" borderId="3" xfId="0" applyNumberFormat="1" applyFont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/>
    </xf>
    <xf numFmtId="3" fontId="0" fillId="0" borderId="3" xfId="0" applyFont="1" applyBorder="1" applyAlignment="1">
      <alignment vertical="center"/>
    </xf>
    <xf numFmtId="3" fontId="0" fillId="0" borderId="0" xfId="0" applyFont="1" applyFill="1" applyBorder="1" applyAlignment="1">
      <alignment vertical="top"/>
    </xf>
    <xf numFmtId="3" fontId="0" fillId="0" borderId="0" xfId="0" applyFont="1" applyFill="1" applyBorder="1" applyAlignment="1">
      <alignment vertical="top" wrapText="1"/>
    </xf>
    <xf numFmtId="49" fontId="11" fillId="0" borderId="3" xfId="0" applyNumberFormat="1" applyFont="1" applyFill="1" applyBorder="1" applyAlignment="1">
      <alignment horizontal="center" vertical="top"/>
    </xf>
    <xf numFmtId="3" fontId="0" fillId="4" borderId="3" xfId="0" applyFont="1" applyFill="1" applyBorder="1" applyAlignment="1">
      <alignment vertical="center"/>
    </xf>
    <xf numFmtId="3" fontId="0" fillId="4" borderId="3" xfId="0" applyFont="1" applyFill="1" applyBorder="1" applyAlignment="1">
      <alignment vertical="top"/>
    </xf>
    <xf numFmtId="49" fontId="8" fillId="0" borderId="12" xfId="0" applyNumberFormat="1" applyFont="1" applyFill="1" applyBorder="1" applyAlignment="1">
      <alignment horizontal="center" vertical="top"/>
    </xf>
    <xf numFmtId="165" fontId="9" fillId="0" borderId="2" xfId="0" applyNumberFormat="1" applyFont="1" applyFill="1" applyBorder="1" applyAlignment="1">
      <alignment vertical="top"/>
    </xf>
    <xf numFmtId="3" fontId="0" fillId="0" borderId="0" xfId="0" applyFont="1" applyFill="1" applyBorder="1" applyAlignment="1">
      <alignment vertical="center" wrapText="1"/>
    </xf>
    <xf numFmtId="3" fontId="0" fillId="0" borderId="0" xfId="0" applyFont="1" applyFill="1" applyBorder="1" applyAlignment="1">
      <alignment wrapText="1"/>
    </xf>
    <xf numFmtId="165" fontId="10" fillId="0" borderId="21" xfId="0" applyNumberFormat="1" applyFont="1" applyFill="1" applyBorder="1" applyAlignment="1">
      <alignment vertical="center" wrapText="1"/>
    </xf>
    <xf numFmtId="3" fontId="0" fillId="0" borderId="20" xfId="0" applyFont="1" applyFill="1" applyBorder="1" applyAlignment="1">
      <alignment vertical="top" wrapText="1"/>
    </xf>
    <xf numFmtId="49" fontId="15" fillId="4" borderId="8" xfId="0" applyNumberFormat="1" applyFont="1" applyFill="1" applyBorder="1" applyAlignment="1">
      <alignment horizontal="center" vertical="top"/>
    </xf>
    <xf numFmtId="1" fontId="3" fillId="0" borderId="3" xfId="0" applyNumberFormat="1" applyFont="1" applyFill="1" applyBorder="1" applyAlignment="1">
      <alignment vertical="top"/>
    </xf>
    <xf numFmtId="1" fontId="3" fillId="0" borderId="3" xfId="0" applyNumberFormat="1" applyFont="1" applyFill="1" applyBorder="1" applyAlignment="1">
      <alignment horizontal="center" vertical="top"/>
    </xf>
    <xf numFmtId="1" fontId="3" fillId="0" borderId="20" xfId="0" applyNumberFormat="1" applyFont="1" applyFill="1" applyBorder="1" applyAlignment="1">
      <alignment vertical="top"/>
    </xf>
    <xf numFmtId="3" fontId="28" fillId="4" borderId="0" xfId="0" applyFont="1" applyFill="1" applyBorder="1" applyAlignment="1">
      <alignment vertical="top"/>
    </xf>
    <xf numFmtId="4" fontId="35" fillId="4" borderId="0" xfId="0" applyNumberFormat="1" applyFont="1" applyFill="1" applyBorder="1" applyAlignment="1">
      <alignment vertical="top"/>
    </xf>
    <xf numFmtId="3" fontId="43" fillId="4" borderId="0" xfId="0" applyFont="1" applyFill="1" applyBorder="1" applyAlignment="1">
      <alignment vertical="top"/>
    </xf>
    <xf numFmtId="4" fontId="0" fillId="4" borderId="0" xfId="0" applyNumberFormat="1" applyFont="1" applyFill="1"/>
    <xf numFmtId="4" fontId="54" fillId="5" borderId="29" xfId="0" applyNumberFormat="1" applyFont="1" applyFill="1" applyBorder="1" applyAlignment="1">
      <alignment vertical="center"/>
    </xf>
    <xf numFmtId="3" fontId="0" fillId="0" borderId="3" xfId="0" applyFont="1" applyBorder="1" applyAlignment="1">
      <alignment vertical="top" wrapText="1"/>
    </xf>
    <xf numFmtId="49" fontId="11" fillId="0" borderId="3" xfId="0" applyNumberFormat="1" applyFont="1" applyBorder="1" applyAlignment="1">
      <alignment horizontal="center" vertical="top" wrapText="1"/>
    </xf>
    <xf numFmtId="3" fontId="0" fillId="4" borderId="3" xfId="0" applyFont="1" applyFill="1" applyBorder="1" applyAlignment="1">
      <alignment vertical="top"/>
    </xf>
    <xf numFmtId="165" fontId="0" fillId="0" borderId="21" xfId="0" applyNumberFormat="1" applyFont="1" applyFill="1" applyBorder="1" applyAlignment="1">
      <alignment vertical="top"/>
    </xf>
    <xf numFmtId="3" fontId="0" fillId="0" borderId="3" xfId="0" applyFont="1" applyFill="1" applyBorder="1" applyAlignment="1">
      <alignment vertical="top"/>
    </xf>
    <xf numFmtId="3" fontId="0" fillId="0" borderId="3" xfId="0" applyFont="1" applyBorder="1" applyAlignment="1">
      <alignment vertical="top"/>
    </xf>
    <xf numFmtId="3" fontId="23" fillId="4" borderId="0" xfId="0" applyFont="1" applyFill="1" applyBorder="1" applyAlignment="1">
      <alignment horizontal="left" vertical="top"/>
    </xf>
    <xf numFmtId="3" fontId="23" fillId="4" borderId="0" xfId="0" applyFont="1" applyFill="1" applyBorder="1" applyAlignment="1">
      <alignment horizontal="left" vertical="top" wrapText="1"/>
    </xf>
    <xf numFmtId="4" fontId="52" fillId="0" borderId="29" xfId="0" applyNumberFormat="1" applyFont="1" applyFill="1" applyBorder="1"/>
    <xf numFmtId="1" fontId="3" fillId="0" borderId="3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65" fontId="10" fillId="0" borderId="21" xfId="0" applyNumberFormat="1" applyFont="1" applyFill="1" applyBorder="1" applyAlignment="1">
      <alignment vertical="top"/>
    </xf>
    <xf numFmtId="3" fontId="10" fillId="3" borderId="3" xfId="0" applyFont="1" applyFill="1" applyBorder="1" applyAlignment="1">
      <alignment vertical="top"/>
    </xf>
    <xf numFmtId="3" fontId="0" fillId="0" borderId="3" xfId="0" applyFont="1" applyFill="1" applyBorder="1" applyAlignment="1">
      <alignment vertical="top"/>
    </xf>
    <xf numFmtId="1" fontId="3" fillId="0" borderId="3" xfId="0" applyNumberFormat="1" applyFont="1" applyFill="1" applyBorder="1" applyAlignment="1">
      <alignment vertical="center" wrapText="1"/>
    </xf>
    <xf numFmtId="49" fontId="8" fillId="0" borderId="8" xfId="0" applyNumberFormat="1" applyFont="1" applyFill="1" applyBorder="1" applyAlignment="1">
      <alignment horizontal="center" vertical="top"/>
    </xf>
    <xf numFmtId="49" fontId="15" fillId="3" borderId="8" xfId="0" applyNumberFormat="1" applyFont="1" applyFill="1" applyBorder="1" applyAlignment="1">
      <alignment horizontal="center" vertical="top"/>
    </xf>
    <xf numFmtId="1" fontId="3" fillId="0" borderId="3" xfId="0" applyNumberFormat="1" applyFont="1" applyFill="1" applyBorder="1" applyAlignment="1">
      <alignment horizontal="center"/>
    </xf>
    <xf numFmtId="49" fontId="28" fillId="6" borderId="38" xfId="0" applyNumberFormat="1" applyFont="1" applyFill="1" applyBorder="1" applyAlignment="1">
      <alignment horizontal="center" vertical="center" wrapText="1"/>
    </xf>
    <xf numFmtId="1" fontId="28" fillId="6" borderId="31" xfId="0" applyNumberFormat="1" applyFont="1" applyFill="1" applyBorder="1" applyAlignment="1"/>
    <xf numFmtId="1" fontId="28" fillId="6" borderId="39" xfId="0" applyNumberFormat="1" applyFont="1" applyFill="1" applyBorder="1" applyAlignment="1">
      <alignment horizontal="center"/>
    </xf>
    <xf numFmtId="166" fontId="28" fillId="6" borderId="31" xfId="0" applyNumberFormat="1" applyFont="1" applyFill="1" applyBorder="1" applyAlignment="1">
      <alignment horizontal="center"/>
    </xf>
    <xf numFmtId="3" fontId="26" fillId="6" borderId="39" xfId="0" applyFont="1" applyFill="1" applyBorder="1" applyAlignment="1">
      <alignment horizontal="left" vertical="center"/>
    </xf>
    <xf numFmtId="3" fontId="28" fillId="6" borderId="31" xfId="0" applyFont="1" applyFill="1" applyBorder="1"/>
    <xf numFmtId="165" fontId="27" fillId="6" borderId="40" xfId="0" applyNumberFormat="1" applyFont="1" applyFill="1" applyBorder="1"/>
    <xf numFmtId="165" fontId="4" fillId="4" borderId="3" xfId="0" applyNumberFormat="1" applyFont="1" applyFill="1" applyBorder="1"/>
    <xf numFmtId="165" fontId="4" fillId="4" borderId="0" xfId="0" applyNumberFormat="1" applyFont="1" applyFill="1" applyBorder="1"/>
    <xf numFmtId="165" fontId="4" fillId="4" borderId="0" xfId="0" applyNumberFormat="1" applyFont="1" applyFill="1" applyBorder="1" applyAlignment="1">
      <alignment horizontal="right"/>
    </xf>
    <xf numFmtId="165" fontId="28" fillId="6" borderId="31" xfId="0" applyNumberFormat="1" applyFont="1" applyFill="1" applyBorder="1"/>
    <xf numFmtId="165" fontId="10" fillId="4" borderId="3" xfId="0" applyNumberFormat="1" applyFont="1" applyFill="1" applyBorder="1"/>
    <xf numFmtId="165" fontId="10" fillId="4" borderId="0" xfId="0" applyNumberFormat="1" applyFont="1" applyFill="1" applyBorder="1" applyAlignment="1">
      <alignment horizontal="right" vertical="top"/>
    </xf>
    <xf numFmtId="165" fontId="10" fillId="4" borderId="23" xfId="0" applyNumberFormat="1" applyFont="1" applyFill="1" applyBorder="1" applyAlignment="1">
      <alignment horizontal="right" vertical="top"/>
    </xf>
    <xf numFmtId="165" fontId="28" fillId="2" borderId="1" xfId="0" applyNumberFormat="1" applyFont="1" applyFill="1" applyBorder="1"/>
    <xf numFmtId="49" fontId="28" fillId="4" borderId="0" xfId="0" applyNumberFormat="1" applyFont="1" applyFill="1" applyBorder="1" applyAlignment="1">
      <alignment horizontal="center"/>
    </xf>
    <xf numFmtId="1" fontId="28" fillId="4" borderId="0" xfId="0" applyNumberFormat="1" applyFont="1" applyFill="1" applyBorder="1" applyAlignment="1"/>
    <xf numFmtId="1" fontId="28" fillId="4" borderId="0" xfId="0" applyNumberFormat="1" applyFont="1" applyFill="1" applyBorder="1" applyAlignment="1">
      <alignment horizontal="center"/>
    </xf>
    <xf numFmtId="49" fontId="28" fillId="4" borderId="0" xfId="0" applyNumberFormat="1" applyFont="1" applyFill="1" applyBorder="1" applyAlignment="1">
      <alignment horizontal="left" vertical="top"/>
    </xf>
    <xf numFmtId="3" fontId="26" fillId="4" borderId="0" xfId="0" applyFont="1" applyFill="1" applyBorder="1" applyAlignment="1">
      <alignment horizontal="left" vertical="center"/>
    </xf>
    <xf numFmtId="3" fontId="0" fillId="0" borderId="0" xfId="0" applyFont="1" applyBorder="1" applyAlignment="1">
      <alignment vertical="top"/>
    </xf>
    <xf numFmtId="49" fontId="15" fillId="4" borderId="13" xfId="0" applyNumberFormat="1" applyFont="1" applyFill="1" applyBorder="1" applyAlignment="1">
      <alignment horizontal="center"/>
    </xf>
    <xf numFmtId="1" fontId="28" fillId="4" borderId="1" xfId="0" applyNumberFormat="1" applyFont="1" applyFill="1" applyBorder="1" applyAlignment="1"/>
    <xf numFmtId="1" fontId="0" fillId="4" borderId="1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 vertical="top"/>
    </xf>
    <xf numFmtId="3" fontId="0" fillId="0" borderId="29" xfId="0" applyFont="1" applyBorder="1" applyAlignment="1">
      <alignment vertical="top"/>
    </xf>
    <xf numFmtId="3" fontId="10" fillId="4" borderId="1" xfId="0" applyFont="1" applyFill="1" applyBorder="1"/>
    <xf numFmtId="3" fontId="0" fillId="4" borderId="29" xfId="0" applyFont="1" applyFill="1" applyBorder="1" applyAlignment="1">
      <alignment horizontal="right" vertical="top"/>
    </xf>
    <xf numFmtId="3" fontId="0" fillId="4" borderId="45" xfId="0" applyFont="1" applyFill="1" applyBorder="1" applyAlignment="1">
      <alignment horizontal="right" vertical="top"/>
    </xf>
    <xf numFmtId="165" fontId="0" fillId="0" borderId="14" xfId="0" applyNumberFormat="1" applyFont="1" applyFill="1" applyBorder="1"/>
    <xf numFmtId="49" fontId="11" fillId="0" borderId="20" xfId="0" applyNumberFormat="1" applyFont="1" applyBorder="1" applyAlignment="1">
      <alignment horizontal="right" vertical="top"/>
    </xf>
    <xf numFmtId="3" fontId="0" fillId="0" borderId="0" xfId="0" applyFont="1" applyFill="1" applyAlignment="1"/>
    <xf numFmtId="4" fontId="15" fillId="0" borderId="0" xfId="0" applyNumberFormat="1" applyFont="1" applyFill="1" applyAlignment="1"/>
    <xf numFmtId="3" fontId="37" fillId="0" borderId="0" xfId="0" applyFont="1" applyFill="1" applyAlignment="1"/>
    <xf numFmtId="49" fontId="15" fillId="0" borderId="8" xfId="0" applyNumberFormat="1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167" fontId="11" fillId="0" borderId="3" xfId="0" applyNumberFormat="1" applyFont="1" applyFill="1" applyBorder="1" applyAlignment="1">
      <alignment horizontal="center" vertical="center"/>
    </xf>
    <xf numFmtId="3" fontId="10" fillId="4" borderId="23" xfId="0" applyFont="1" applyFill="1" applyBorder="1" applyAlignment="1">
      <alignment vertical="center"/>
    </xf>
    <xf numFmtId="165" fontId="10" fillId="0" borderId="21" xfId="0" applyNumberFormat="1" applyFont="1" applyFill="1" applyBorder="1" applyAlignment="1">
      <alignment vertical="center"/>
    </xf>
    <xf numFmtId="4" fontId="47" fillId="4" borderId="0" xfId="0" applyNumberFormat="1" applyFont="1" applyFill="1" applyBorder="1" applyAlignment="1">
      <alignment vertical="center"/>
    </xf>
    <xf numFmtId="3" fontId="61" fillId="0" borderId="0" xfId="0" applyFont="1" applyFill="1" applyBorder="1"/>
    <xf numFmtId="3" fontId="65" fillId="4" borderId="0" xfId="0" applyFont="1" applyFill="1" applyBorder="1"/>
    <xf numFmtId="165" fontId="66" fillId="4" borderId="0" xfId="0" applyNumberFormat="1" applyFont="1" applyFill="1" applyBorder="1"/>
    <xf numFmtId="3" fontId="67" fillId="0" borderId="0" xfId="0" applyFont="1" applyFill="1"/>
    <xf numFmtId="3" fontId="67" fillId="0" borderId="0" xfId="0" applyFont="1" applyFill="1" applyAlignment="1">
      <alignment horizontal="right"/>
    </xf>
    <xf numFmtId="3" fontId="61" fillId="0" borderId="0" xfId="0" applyFont="1" applyFill="1" applyAlignment="1">
      <alignment horizontal="right"/>
    </xf>
    <xf numFmtId="165" fontId="4" fillId="4" borderId="21" xfId="0" applyNumberFormat="1" applyFont="1" applyFill="1" applyBorder="1"/>
    <xf numFmtId="3" fontId="68" fillId="4" borderId="0" xfId="0" applyFont="1" applyFill="1" applyBorder="1"/>
    <xf numFmtId="3" fontId="58" fillId="0" borderId="0" xfId="0" applyFont="1" applyFill="1"/>
    <xf numFmtId="3" fontId="58" fillId="0" borderId="0" xfId="0" applyFont="1" applyFill="1" applyAlignment="1">
      <alignment horizontal="right"/>
    </xf>
    <xf numFmtId="3" fontId="68" fillId="0" borderId="0" xfId="0" applyFont="1" applyFill="1" applyAlignment="1">
      <alignment horizontal="right"/>
    </xf>
    <xf numFmtId="1" fontId="19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0" fillId="0" borderId="3" xfId="0" applyFont="1" applyFill="1" applyBorder="1" applyAlignment="1">
      <alignment vertical="center"/>
    </xf>
    <xf numFmtId="3" fontId="0" fillId="0" borderId="3" xfId="0" applyBorder="1" applyAlignment="1">
      <alignment vertical="center"/>
    </xf>
    <xf numFmtId="3" fontId="0" fillId="0" borderId="3" xfId="0" applyFont="1" applyFill="1" applyBorder="1" applyAlignment="1">
      <alignment vertical="top"/>
    </xf>
    <xf numFmtId="3" fontId="0" fillId="0" borderId="3" xfId="0" applyBorder="1" applyAlignment="1">
      <alignment vertical="top"/>
    </xf>
    <xf numFmtId="3" fontId="3" fillId="0" borderId="3" xfId="0" applyFont="1" applyFill="1" applyBorder="1" applyAlignment="1">
      <alignment horizontal="right" vertical="top"/>
    </xf>
    <xf numFmtId="3" fontId="0" fillId="0" borderId="3" xfId="0" applyBorder="1" applyAlignment="1">
      <alignment horizontal="right" vertical="top"/>
    </xf>
    <xf numFmtId="165" fontId="0" fillId="0" borderId="21" xfId="0" applyNumberFormat="1" applyFont="1" applyFill="1" applyBorder="1" applyAlignment="1">
      <alignment vertical="top"/>
    </xf>
    <xf numFmtId="3" fontId="0" fillId="0" borderId="21" xfId="0" applyBorder="1" applyAlignment="1">
      <alignment vertical="top"/>
    </xf>
    <xf numFmtId="3" fontId="0" fillId="4" borderId="3" xfId="0" applyFont="1" applyFill="1" applyBorder="1" applyAlignment="1">
      <alignment vertical="center"/>
    </xf>
    <xf numFmtId="3" fontId="0" fillId="4" borderId="3" xfId="0" applyFont="1" applyFill="1" applyBorder="1" applyAlignment="1">
      <alignment vertical="top"/>
    </xf>
    <xf numFmtId="3" fontId="3" fillId="4" borderId="3" xfId="0" applyFont="1" applyFill="1" applyBorder="1" applyAlignment="1">
      <alignment vertical="top"/>
    </xf>
    <xf numFmtId="3" fontId="0" fillId="0" borderId="3" xfId="0" applyFont="1" applyBorder="1" applyAlignment="1">
      <alignment vertical="center"/>
    </xf>
    <xf numFmtId="3" fontId="0" fillId="0" borderId="3" xfId="0" applyFont="1" applyBorder="1" applyAlignment="1">
      <alignment vertical="top"/>
    </xf>
    <xf numFmtId="3" fontId="0" fillId="0" borderId="21" xfId="0" applyFont="1" applyBorder="1" applyAlignment="1">
      <alignment vertical="top"/>
    </xf>
    <xf numFmtId="49" fontId="8" fillId="0" borderId="8" xfId="0" applyNumberFormat="1" applyFont="1" applyFill="1" applyBorder="1" applyAlignment="1">
      <alignment horizontal="center" vertical="center" wrapText="1"/>
    </xf>
    <xf numFmtId="3" fontId="0" fillId="0" borderId="8" xfId="0" applyFont="1" applyBorder="1" applyAlignment="1">
      <alignment horizontal="center" vertical="center" wrapText="1"/>
    </xf>
    <xf numFmtId="3" fontId="0" fillId="0" borderId="3" xfId="0" applyFont="1" applyFill="1" applyBorder="1" applyAlignment="1">
      <alignment vertical="top" wrapText="1"/>
    </xf>
    <xf numFmtId="3" fontId="0" fillId="0" borderId="3" xfId="0" applyFont="1" applyBorder="1" applyAlignment="1">
      <alignment vertical="top" wrapText="1"/>
    </xf>
    <xf numFmtId="49" fontId="11" fillId="0" borderId="3" xfId="0" applyNumberFormat="1" applyFont="1" applyBorder="1" applyAlignment="1">
      <alignment horizontal="center" vertical="top" wrapText="1"/>
    </xf>
    <xf numFmtId="3" fontId="0" fillId="0" borderId="3" xfId="0" applyFont="1" applyBorder="1" applyAlignment="1">
      <alignment horizontal="center" vertical="top" wrapText="1"/>
    </xf>
    <xf numFmtId="3" fontId="0" fillId="0" borderId="3" xfId="0" applyBorder="1" applyAlignment="1">
      <alignment vertical="top" wrapText="1"/>
    </xf>
    <xf numFmtId="3" fontId="0" fillId="0" borderId="3" xfId="0" applyBorder="1" applyAlignment="1">
      <alignment horizontal="center" vertical="top" wrapText="1"/>
    </xf>
    <xf numFmtId="3" fontId="0" fillId="0" borderId="8" xfId="0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vertical="center" wrapText="1"/>
    </xf>
    <xf numFmtId="3" fontId="0" fillId="0" borderId="3" xfId="0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/>
    </xf>
    <xf numFmtId="3" fontId="0" fillId="0" borderId="3" xfId="0" applyBorder="1" applyAlignment="1">
      <alignment horizontal="center"/>
    </xf>
    <xf numFmtId="49" fontId="15" fillId="4" borderId="8" xfId="0" applyNumberFormat="1" applyFont="1" applyFill="1" applyBorder="1" applyAlignment="1">
      <alignment horizontal="center" vertical="top" wrapText="1"/>
    </xf>
    <xf numFmtId="3" fontId="0" fillId="0" borderId="8" xfId="0" applyFont="1" applyBorder="1" applyAlignment="1">
      <alignment horizontal="center" vertical="top" wrapText="1"/>
    </xf>
    <xf numFmtId="1" fontId="0" fillId="4" borderId="3" xfId="0" applyNumberFormat="1" applyFont="1" applyFill="1" applyBorder="1" applyAlignment="1">
      <alignment horizontal="center" vertical="top" wrapText="1"/>
    </xf>
    <xf numFmtId="3" fontId="0" fillId="0" borderId="3" xfId="0" applyFont="1" applyBorder="1" applyAlignment="1">
      <alignment vertical="center" wrapText="1"/>
    </xf>
    <xf numFmtId="49" fontId="16" fillId="4" borderId="36" xfId="0" applyNumberFormat="1" applyFont="1" applyFill="1" applyBorder="1" applyAlignment="1">
      <alignment horizontal="center" vertical="top"/>
    </xf>
    <xf numFmtId="3" fontId="16" fillId="0" borderId="3" xfId="0" applyFont="1" applyBorder="1" applyAlignment="1">
      <alignment horizontal="center" vertical="top"/>
    </xf>
    <xf numFmtId="3" fontId="23" fillId="0" borderId="3" xfId="0" applyFont="1" applyBorder="1" applyAlignment="1">
      <alignment vertical="top" wrapText="1"/>
    </xf>
    <xf numFmtId="3" fontId="10" fillId="4" borderId="36" xfId="0" applyFont="1" applyFill="1" applyBorder="1" applyAlignment="1">
      <alignment vertical="center"/>
    </xf>
    <xf numFmtId="165" fontId="4" fillId="4" borderId="44" xfId="0" applyNumberFormat="1" applyFont="1" applyFill="1" applyBorder="1" applyAlignment="1">
      <alignment vertical="center"/>
    </xf>
    <xf numFmtId="3" fontId="0" fillId="4" borderId="21" xfId="0" applyFill="1" applyBorder="1" applyAlignment="1">
      <alignment vertical="center"/>
    </xf>
    <xf numFmtId="3" fontId="25" fillId="4" borderId="3" xfId="0" applyFont="1" applyFill="1" applyBorder="1" applyAlignment="1">
      <alignment horizontal="left" vertical="center" wrapText="1"/>
    </xf>
    <xf numFmtId="3" fontId="0" fillId="0" borderId="3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42"/>
  </sheetPr>
  <dimension ref="A1:N40"/>
  <sheetViews>
    <sheetView showGridLines="0" view="pageBreakPreview" zoomScaleNormal="100" zoomScaleSheetLayoutView="100" workbookViewId="0">
      <selection activeCell="H25" sqref="H25"/>
    </sheetView>
  </sheetViews>
  <sheetFormatPr defaultColWidth="9.140625" defaultRowHeight="12.75" x14ac:dyDescent="0.2"/>
  <cols>
    <col min="1" max="1" width="40.5703125" style="4" customWidth="1"/>
    <col min="2" max="2" width="15.85546875" style="4" customWidth="1"/>
    <col min="3" max="3" width="15.5703125" style="4" customWidth="1"/>
    <col min="4" max="4" width="15.7109375" style="4" customWidth="1"/>
    <col min="5" max="5" width="11.28515625" style="4" customWidth="1"/>
    <col min="6" max="6" width="4.140625" style="4" customWidth="1"/>
    <col min="7" max="7" width="3.140625" style="4" customWidth="1"/>
    <col min="8" max="8" width="19.28515625" style="178" customWidth="1"/>
    <col min="9" max="9" width="20.5703125" style="178" customWidth="1"/>
    <col min="10" max="10" width="21" style="178" customWidth="1"/>
    <col min="11" max="11" width="16" style="179" customWidth="1"/>
    <col min="12" max="12" width="14" style="4" customWidth="1"/>
    <col min="13" max="13" width="9.140625" style="4" customWidth="1"/>
    <col min="14" max="14" width="22.7109375" style="4" customWidth="1"/>
    <col min="15" max="16384" width="9.140625" style="4"/>
  </cols>
  <sheetData>
    <row r="1" spans="1:11" ht="20.25" x14ac:dyDescent="0.3">
      <c r="A1" s="3" t="s">
        <v>315</v>
      </c>
    </row>
    <row r="3" spans="1:11" x14ac:dyDescent="0.2">
      <c r="A3" s="648" t="s">
        <v>215</v>
      </c>
      <c r="B3" s="648"/>
      <c r="C3" s="648"/>
      <c r="D3" s="648"/>
      <c r="E3" s="648"/>
    </row>
    <row r="4" spans="1:11" ht="17.25" customHeight="1" x14ac:dyDescent="0.2">
      <c r="A4" s="648"/>
      <c r="B4" s="648"/>
      <c r="C4" s="648"/>
      <c r="D4" s="648"/>
      <c r="E4" s="648"/>
    </row>
    <row r="6" spans="1:11" ht="15.75" x14ac:dyDescent="0.25">
      <c r="A6" s="5" t="s">
        <v>31</v>
      </c>
    </row>
    <row r="7" spans="1:11" ht="13.5" thickBot="1" x14ac:dyDescent="0.25">
      <c r="C7" s="6"/>
      <c r="E7" s="6" t="s">
        <v>0</v>
      </c>
    </row>
    <row r="8" spans="1:11" s="10" customFormat="1" ht="18.75" customHeight="1" thickTop="1" thickBot="1" x14ac:dyDescent="0.25">
      <c r="A8" s="7" t="s">
        <v>26</v>
      </c>
      <c r="B8" s="8" t="s">
        <v>291</v>
      </c>
      <c r="C8" s="8" t="s">
        <v>292</v>
      </c>
      <c r="D8" s="8" t="s">
        <v>14</v>
      </c>
      <c r="E8" s="9" t="s">
        <v>15</v>
      </c>
      <c r="H8" s="180"/>
      <c r="I8" s="180"/>
      <c r="J8" s="252" t="s">
        <v>92</v>
      </c>
      <c r="K8" s="181"/>
    </row>
    <row r="9" spans="1:11" s="10" customFormat="1" thickTop="1" thickBot="1" x14ac:dyDescent="0.25">
      <c r="A9" s="11">
        <v>1</v>
      </c>
      <c r="B9" s="8">
        <v>2</v>
      </c>
      <c r="C9" s="8">
        <v>3</v>
      </c>
      <c r="D9" s="8">
        <v>4</v>
      </c>
      <c r="E9" s="12" t="s">
        <v>33</v>
      </c>
      <c r="H9" s="180"/>
      <c r="I9" s="180"/>
      <c r="J9" s="180"/>
      <c r="K9" s="181"/>
    </row>
    <row r="10" spans="1:11" ht="18.95" customHeight="1" thickTop="1" x14ac:dyDescent="0.2">
      <c r="A10" s="153" t="s">
        <v>38</v>
      </c>
      <c r="B10" s="354">
        <f>SUM(Příjmy!F454)</f>
        <v>4504853</v>
      </c>
      <c r="C10" s="354">
        <f>SUM(Příjmy!G454)</f>
        <v>12236784</v>
      </c>
      <c r="D10" s="354">
        <f>SUM(Příjmy!H454)</f>
        <v>25437596.399999999</v>
      </c>
      <c r="E10" s="1">
        <f>(D10/C10)*100</f>
        <v>207.87811895674548</v>
      </c>
      <c r="H10" s="250">
        <f>SUM(Příjmy!K454)</f>
        <v>4504853000</v>
      </c>
      <c r="I10" s="510">
        <f>SUM(Příjmy!L454)</f>
        <v>12236783533.859997</v>
      </c>
      <c r="J10" s="250">
        <f>SUM(Příjmy!M454)</f>
        <v>25437596209.939999</v>
      </c>
    </row>
    <row r="11" spans="1:11" ht="18.95" customHeight="1" x14ac:dyDescent="0.2">
      <c r="A11" s="153" t="s">
        <v>39</v>
      </c>
      <c r="B11" s="152">
        <f>SUM(Příjmy!F455)</f>
        <v>0</v>
      </c>
      <c r="C11" s="152">
        <f>SUM(Příjmy!G455)</f>
        <v>385863</v>
      </c>
      <c r="D11" s="152">
        <f>SUM(Příjmy!H455)</f>
        <v>2027618</v>
      </c>
      <c r="E11" s="1">
        <f>(D11/C11)*100</f>
        <v>525.47614049546075</v>
      </c>
      <c r="H11" s="250">
        <f>SUM(Příjmy!K455)</f>
        <v>0</v>
      </c>
      <c r="I11" s="250">
        <f>SUM(Příjmy!L455)</f>
        <v>385863738.93000007</v>
      </c>
      <c r="J11" s="250">
        <f>SUM(Příjmy!M455)</f>
        <v>2027617382.3799999</v>
      </c>
    </row>
    <row r="12" spans="1:11" ht="18.95" customHeight="1" x14ac:dyDescent="0.2">
      <c r="A12" s="153" t="s">
        <v>40</v>
      </c>
      <c r="B12" s="152">
        <f>SUM(Příjmy!F452)</f>
        <v>8242</v>
      </c>
      <c r="C12" s="152">
        <f>SUM(Příjmy!G452)</f>
        <v>8410</v>
      </c>
      <c r="D12" s="152">
        <f>SUM(Příjmy!H452)</f>
        <v>8616</v>
      </c>
      <c r="E12" s="1">
        <f t="shared" ref="E12:E15" si="0">(D12/C12)*100</f>
        <v>102.44946492271106</v>
      </c>
      <c r="H12" s="250">
        <f>SUM(Příjmy!K433)</f>
        <v>8242000</v>
      </c>
      <c r="I12" s="250">
        <f>SUM(Příjmy!L433)</f>
        <v>8410300</v>
      </c>
      <c r="J12" s="250">
        <f>SUM(Příjmy!M433)</f>
        <v>8616102.9900000002</v>
      </c>
    </row>
    <row r="13" spans="1:11" ht="43.5" customHeight="1" x14ac:dyDescent="0.2">
      <c r="A13" s="355" t="s">
        <v>41</v>
      </c>
      <c r="B13" s="152">
        <f>SUM(Příjmy!F453)</f>
        <v>50000</v>
      </c>
      <c r="C13" s="152">
        <f>SUM(Příjmy!G453)</f>
        <v>50415</v>
      </c>
      <c r="D13" s="152">
        <f>SUM(Příjmy!H453)</f>
        <v>56755</v>
      </c>
      <c r="E13" s="1">
        <f>(D13/C13)*100</f>
        <v>112.57562233462264</v>
      </c>
      <c r="H13" s="407">
        <f>SUM(Příjmy!K437)</f>
        <v>50000000</v>
      </c>
      <c r="I13" s="407">
        <f>SUM(Příjmy!L437)</f>
        <v>50414575.359999999</v>
      </c>
      <c r="J13" s="407">
        <f>SUM(Příjmy!M437)</f>
        <v>56755453.710000001</v>
      </c>
    </row>
    <row r="14" spans="1:11" s="14" customFormat="1" ht="34.5" customHeight="1" x14ac:dyDescent="0.25">
      <c r="A14" s="13" t="s">
        <v>32</v>
      </c>
      <c r="B14" s="356">
        <f>SUM(B10:B13)</f>
        <v>4563095</v>
      </c>
      <c r="C14" s="356">
        <f t="shared" ref="C14" si="1">SUM(C10:C13)</f>
        <v>12681472</v>
      </c>
      <c r="D14" s="356">
        <f>SUM(D10:D13)</f>
        <v>27530585.399999999</v>
      </c>
      <c r="E14" s="357">
        <f>(D14/C14)*100</f>
        <v>217.09297942699396</v>
      </c>
      <c r="H14" s="408">
        <f>H10+H11+H12+H13</f>
        <v>4563095000</v>
      </c>
      <c r="I14" s="408">
        <f t="shared" ref="I14:J14" si="2">I10+I11+I12+I13</f>
        <v>12681472148.149998</v>
      </c>
      <c r="J14" s="408">
        <f t="shared" si="2"/>
        <v>27530585149.02</v>
      </c>
      <c r="K14" s="182"/>
    </row>
    <row r="15" spans="1:11" s="14" customFormat="1" ht="21.75" customHeight="1" x14ac:dyDescent="0.2">
      <c r="A15" s="15" t="s">
        <v>19</v>
      </c>
      <c r="B15" s="152">
        <f>SUM(Příjmy!F442)</f>
        <v>8240</v>
      </c>
      <c r="C15" s="152">
        <f>SUM(Příjmy!G442)</f>
        <v>8408</v>
      </c>
      <c r="D15" s="353">
        <f>SUM(Příjmy!H442)</f>
        <v>14526118</v>
      </c>
      <c r="E15" s="1">
        <f t="shared" si="0"/>
        <v>172765.43767840153</v>
      </c>
      <c r="H15" s="409">
        <f>Příjmy!K457</f>
        <v>8240000</v>
      </c>
      <c r="I15" s="409">
        <f>Příjmy!L457</f>
        <v>8408300</v>
      </c>
      <c r="J15" s="409">
        <f>Příjmy!M457</f>
        <v>14526118475.27</v>
      </c>
      <c r="K15" s="182"/>
    </row>
    <row r="16" spans="1:11" s="14" customFormat="1" ht="52.5" customHeight="1" thickBot="1" x14ac:dyDescent="0.3">
      <c r="A16" s="22" t="s">
        <v>20</v>
      </c>
      <c r="B16" s="64">
        <f>B14-B15</f>
        <v>4554855</v>
      </c>
      <c r="C16" s="64">
        <f t="shared" ref="C16" si="3">C14-C15</f>
        <v>12673064</v>
      </c>
      <c r="D16" s="64">
        <f>D14-D15</f>
        <v>13004467.399999999</v>
      </c>
      <c r="E16" s="23">
        <f>(D16/C16)*100</f>
        <v>102.61502190788272</v>
      </c>
      <c r="H16" s="262">
        <f>H14-H15</f>
        <v>4554855000</v>
      </c>
      <c r="I16" s="262">
        <f>I14-I15</f>
        <v>12673063848.149998</v>
      </c>
      <c r="J16" s="262">
        <f>J14-J15</f>
        <v>13004466673.75</v>
      </c>
      <c r="K16" s="182"/>
    </row>
    <row r="17" spans="1:14" ht="13.5" thickTop="1" x14ac:dyDescent="0.2">
      <c r="A17" s="151"/>
      <c r="B17" s="151"/>
      <c r="C17" s="151"/>
      <c r="D17" s="151"/>
      <c r="E17" s="151"/>
    </row>
    <row r="18" spans="1:14" x14ac:dyDescent="0.2">
      <c r="B18" s="151"/>
      <c r="C18" s="151"/>
      <c r="D18" s="151"/>
      <c r="E18" s="151"/>
    </row>
    <row r="19" spans="1:14" x14ac:dyDescent="0.2">
      <c r="B19" s="151"/>
      <c r="C19" s="151"/>
      <c r="D19" s="151"/>
      <c r="E19" s="151"/>
    </row>
    <row r="20" spans="1:14" ht="15.75" x14ac:dyDescent="0.25">
      <c r="A20" s="5" t="s">
        <v>30</v>
      </c>
      <c r="B20" s="151"/>
      <c r="C20" s="151"/>
      <c r="D20" s="151"/>
      <c r="E20" s="151"/>
    </row>
    <row r="21" spans="1:14" ht="13.5" thickBot="1" x14ac:dyDescent="0.25">
      <c r="B21" s="17"/>
      <c r="C21" s="18"/>
      <c r="D21" s="17">
        <f>SUM(D20:D20)</f>
        <v>0</v>
      </c>
      <c r="E21" s="6" t="s">
        <v>0</v>
      </c>
      <c r="J21" s="252" t="s">
        <v>92</v>
      </c>
      <c r="L21" s="17"/>
      <c r="M21" s="17"/>
      <c r="N21" s="17"/>
    </row>
    <row r="22" spans="1:14" s="19" customFormat="1" ht="18.75" customHeight="1" thickTop="1" thickBot="1" x14ac:dyDescent="0.25">
      <c r="A22" s="7" t="s">
        <v>26</v>
      </c>
      <c r="B22" s="8" t="s">
        <v>291</v>
      </c>
      <c r="C22" s="8" t="s">
        <v>292</v>
      </c>
      <c r="D22" s="8" t="s">
        <v>14</v>
      </c>
      <c r="E22" s="9" t="s">
        <v>15</v>
      </c>
      <c r="H22" s="248" t="s">
        <v>4</v>
      </c>
      <c r="I22" s="248" t="s">
        <v>5</v>
      </c>
      <c r="J22" s="248" t="s">
        <v>14</v>
      </c>
      <c r="K22" s="183"/>
      <c r="L22" s="125"/>
      <c r="M22" s="125"/>
      <c r="N22" s="125"/>
    </row>
    <row r="23" spans="1:14" s="10" customFormat="1" thickTop="1" thickBot="1" x14ac:dyDescent="0.25">
      <c r="A23" s="11">
        <v>1</v>
      </c>
      <c r="B23" s="8">
        <v>2</v>
      </c>
      <c r="C23" s="8">
        <v>3</v>
      </c>
      <c r="D23" s="8">
        <v>4</v>
      </c>
      <c r="E23" s="12" t="s">
        <v>33</v>
      </c>
      <c r="H23" s="248">
        <v>2</v>
      </c>
      <c r="I23" s="248">
        <v>3</v>
      </c>
      <c r="J23" s="248">
        <v>4</v>
      </c>
      <c r="K23" s="181"/>
      <c r="L23" s="253"/>
      <c r="M23" s="254"/>
      <c r="N23" s="124"/>
    </row>
    <row r="24" spans="1:14" ht="18.95" customHeight="1" thickTop="1" x14ac:dyDescent="0.2">
      <c r="A24" s="153" t="s">
        <v>42</v>
      </c>
      <c r="B24" s="358">
        <f>SUM(Příjmy!F461)</f>
        <v>4101290</v>
      </c>
      <c r="C24" s="358">
        <f>SUM(Příjmy!G461)</f>
        <v>4151872</v>
      </c>
      <c r="D24" s="358">
        <f>SUM(Příjmy!H461)</f>
        <v>4517124</v>
      </c>
      <c r="E24" s="1">
        <f>(D24/C24)*100</f>
        <v>108.79728469471121</v>
      </c>
      <c r="H24" s="249">
        <f>Příjmy!K461</f>
        <v>4101290000</v>
      </c>
      <c r="I24" s="249">
        <f>Příjmy!L461</f>
        <v>4151871870</v>
      </c>
      <c r="J24" s="249">
        <f>Příjmy!M461</f>
        <v>4517124422.2700005</v>
      </c>
      <c r="L24" s="253"/>
      <c r="M24" s="127"/>
      <c r="N24" s="126"/>
    </row>
    <row r="25" spans="1:14" ht="18.95" customHeight="1" x14ac:dyDescent="0.2">
      <c r="A25" s="153" t="s">
        <v>43</v>
      </c>
      <c r="B25" s="353">
        <f>SUM(Příjmy!F462)</f>
        <v>302928.59999999998</v>
      </c>
      <c r="C25" s="353">
        <f>SUM(Příjmy!G462)</f>
        <v>413196.6</v>
      </c>
      <c r="D25" s="353">
        <f>SUM(Příjmy!H462)</f>
        <v>431102</v>
      </c>
      <c r="E25" s="1">
        <f t="shared" ref="E25:E29" si="4">(D25/C25)*100</f>
        <v>104.3333851246598</v>
      </c>
      <c r="H25" s="507">
        <f>Příjmy!K462</f>
        <v>302928600</v>
      </c>
      <c r="I25" s="507">
        <f>Příjmy!L462</f>
        <v>413196624.19</v>
      </c>
      <c r="J25" s="249">
        <f>Příjmy!M462</f>
        <v>431101955.73000002</v>
      </c>
      <c r="L25" s="253"/>
      <c r="M25" s="255"/>
      <c r="N25" s="126"/>
    </row>
    <row r="26" spans="1:14" ht="18.95" customHeight="1" x14ac:dyDescent="0.2">
      <c r="A26" s="153" t="s">
        <v>44</v>
      </c>
      <c r="B26" s="353">
        <f>SUM(Příjmy!F463)</f>
        <v>13200</v>
      </c>
      <c r="C26" s="353">
        <f>SUM(Příjmy!G463)</f>
        <v>13200</v>
      </c>
      <c r="D26" s="353">
        <f>SUM(Příjmy!H463)</f>
        <v>14341</v>
      </c>
      <c r="E26" s="1">
        <f>(D26/C26)*100</f>
        <v>108.64393939393939</v>
      </c>
      <c r="H26" s="249">
        <f>Příjmy!K463</f>
        <v>13200000</v>
      </c>
      <c r="I26" s="249">
        <f>Příjmy!L463</f>
        <v>13200000</v>
      </c>
      <c r="J26" s="249">
        <f>Příjmy!M463</f>
        <v>14341001.800000001</v>
      </c>
      <c r="L26" s="253"/>
      <c r="M26" s="254"/>
      <c r="N26" s="126"/>
    </row>
    <row r="27" spans="1:14" ht="18.95" customHeight="1" x14ac:dyDescent="0.2">
      <c r="A27" s="154" t="s">
        <v>216</v>
      </c>
      <c r="B27" s="359">
        <f>SUM(Příjmy!F464)</f>
        <v>145676.4</v>
      </c>
      <c r="C27" s="359">
        <f>SUM(Příjmy!G464)</f>
        <v>8103203.4000000004</v>
      </c>
      <c r="D27" s="359">
        <f>SUM(Příjmy!H464)</f>
        <v>22568018.399999999</v>
      </c>
      <c r="E27" s="176">
        <f t="shared" si="4"/>
        <v>278.50736660516253</v>
      </c>
      <c r="G27" s="63"/>
      <c r="H27" s="410">
        <f>Příjmy!K464</f>
        <v>145676400</v>
      </c>
      <c r="I27" s="587">
        <f>Příjmy!L464</f>
        <v>8103203653.96</v>
      </c>
      <c r="J27" s="410">
        <f>Příjmy!M464</f>
        <v>22568017769.220001</v>
      </c>
      <c r="L27" s="253"/>
      <c r="M27" s="256"/>
      <c r="N27" s="126"/>
    </row>
    <row r="28" spans="1:14" ht="18.95" customHeight="1" x14ac:dyDescent="0.25">
      <c r="A28" s="20" t="s">
        <v>27</v>
      </c>
      <c r="B28" s="360">
        <f>SUM(B24:B27)</f>
        <v>4563095</v>
      </c>
      <c r="C28" s="360">
        <f t="shared" ref="C28:D28" si="5">SUM(C24:C27)</f>
        <v>12681472</v>
      </c>
      <c r="D28" s="360">
        <f t="shared" si="5"/>
        <v>27530585.399999999</v>
      </c>
      <c r="E28" s="21">
        <f>(D28/C28)*100</f>
        <v>217.09297942699396</v>
      </c>
      <c r="H28" s="262">
        <f>H24+H25+H26+H27</f>
        <v>4563095000</v>
      </c>
      <c r="I28" s="262">
        <f>I24+I25+I26+I27</f>
        <v>12681472148.15</v>
      </c>
      <c r="J28" s="262">
        <f>J24+J25+J26+J27</f>
        <v>27530585149.02</v>
      </c>
      <c r="L28" s="256"/>
      <c r="M28" s="256"/>
      <c r="N28" s="126"/>
    </row>
    <row r="29" spans="1:14" s="14" customFormat="1" ht="21.75" customHeight="1" x14ac:dyDescent="0.2">
      <c r="A29" s="15" t="s">
        <v>19</v>
      </c>
      <c r="B29" s="353">
        <f>Příjmy!F442</f>
        <v>8240</v>
      </c>
      <c r="C29" s="361">
        <f>Příjmy!G442</f>
        <v>8408</v>
      </c>
      <c r="D29" s="353">
        <f>Příjmy!H442</f>
        <v>14526118</v>
      </c>
      <c r="E29" s="1">
        <f t="shared" si="4"/>
        <v>172765.43767840153</v>
      </c>
      <c r="H29" s="410">
        <f>Příjmy!K457</f>
        <v>8240000</v>
      </c>
      <c r="I29" s="410">
        <f>Příjmy!L457</f>
        <v>8408300</v>
      </c>
      <c r="J29" s="410">
        <f>Příjmy!M457</f>
        <v>14526118475.27</v>
      </c>
      <c r="K29" s="182"/>
      <c r="L29" s="257"/>
      <c r="M29" s="257"/>
      <c r="N29" s="126"/>
    </row>
    <row r="30" spans="1:14" s="14" customFormat="1" ht="52.5" customHeight="1" thickBot="1" x14ac:dyDescent="0.3">
      <c r="A30" s="22" t="s">
        <v>20</v>
      </c>
      <c r="B30" s="362">
        <f>B28-B29</f>
        <v>4554855</v>
      </c>
      <c r="C30" s="362">
        <f>C28-C29</f>
        <v>12673064</v>
      </c>
      <c r="D30" s="362">
        <f>D28-D29</f>
        <v>13004467.399999999</v>
      </c>
      <c r="E30" s="23">
        <f>(D30/C30)*100</f>
        <v>102.61502190788272</v>
      </c>
      <c r="H30" s="408">
        <f>H28-H29</f>
        <v>4554855000</v>
      </c>
      <c r="I30" s="408">
        <f>I28-I29</f>
        <v>12673063848.15</v>
      </c>
      <c r="J30" s="408">
        <f>J28-J29</f>
        <v>13004466673.75</v>
      </c>
      <c r="K30" s="177"/>
      <c r="L30" s="253"/>
      <c r="M30" s="257"/>
      <c r="N30" s="126"/>
    </row>
    <row r="31" spans="1:14" ht="13.5" thickTop="1" x14ac:dyDescent="0.2">
      <c r="A31" s="151"/>
      <c r="B31" s="219"/>
      <c r="C31" s="219"/>
      <c r="D31" s="219"/>
      <c r="E31" s="151"/>
      <c r="N31" s="123"/>
    </row>
    <row r="32" spans="1:14" x14ac:dyDescent="0.2">
      <c r="A32" s="151"/>
      <c r="B32" s="151"/>
      <c r="C32" s="151"/>
      <c r="D32" s="151"/>
      <c r="E32" s="151"/>
      <c r="H32" s="407">
        <f>Příjmy!K468+Příjmy!K469+Příjmy!K467</f>
        <v>320094000</v>
      </c>
      <c r="I32" s="407">
        <f>Příjmy!L468+Příjmy!L469+Příjmy!L467</f>
        <v>1062574600.55</v>
      </c>
      <c r="J32" s="407">
        <f>Příjmy!M468+Příjmy!M469+Příjmy!M467</f>
        <v>1062574600.55</v>
      </c>
      <c r="K32" s="151" t="s">
        <v>122</v>
      </c>
      <c r="N32" s="123"/>
    </row>
    <row r="33" spans="1:14" x14ac:dyDescent="0.2">
      <c r="A33" s="151"/>
      <c r="B33" s="151"/>
      <c r="C33" s="151"/>
      <c r="D33" s="151"/>
      <c r="E33" s="151"/>
      <c r="H33" s="251">
        <f>H30+H32</f>
        <v>4874949000</v>
      </c>
      <c r="I33" s="251">
        <f>I30+I32</f>
        <v>13735638448.699999</v>
      </c>
      <c r="J33" s="251">
        <f>J30+J32</f>
        <v>14067041274.299999</v>
      </c>
      <c r="N33" s="123"/>
    </row>
    <row r="34" spans="1:14" x14ac:dyDescent="0.2">
      <c r="A34" s="649" t="s">
        <v>45</v>
      </c>
      <c r="B34" s="649"/>
      <c r="C34" s="649"/>
      <c r="D34" s="649"/>
      <c r="E34" s="649"/>
      <c r="H34" s="227"/>
      <c r="I34" s="227"/>
      <c r="J34" s="227"/>
      <c r="N34" s="123"/>
    </row>
    <row r="35" spans="1:14" x14ac:dyDescent="0.2">
      <c r="A35" s="649"/>
      <c r="B35" s="649"/>
      <c r="C35" s="649"/>
      <c r="D35" s="649"/>
      <c r="E35" s="649"/>
      <c r="F35" s="24"/>
      <c r="G35" s="24"/>
      <c r="N35" s="123"/>
    </row>
    <row r="36" spans="1:14" x14ac:dyDescent="0.2">
      <c r="A36" s="24"/>
      <c r="B36" s="24"/>
      <c r="C36" s="24"/>
      <c r="D36" s="24"/>
      <c r="E36" s="24"/>
      <c r="F36" s="24"/>
      <c r="G36" s="24"/>
      <c r="N36" s="123"/>
    </row>
    <row r="37" spans="1:14" x14ac:dyDescent="0.2">
      <c r="F37" s="24"/>
      <c r="G37" s="24"/>
      <c r="N37" s="123"/>
    </row>
    <row r="38" spans="1:14" x14ac:dyDescent="0.2">
      <c r="F38" s="24"/>
      <c r="G38" s="24"/>
      <c r="N38" s="123"/>
    </row>
    <row r="39" spans="1:14" x14ac:dyDescent="0.2">
      <c r="N39" s="19"/>
    </row>
    <row r="40" spans="1:14" x14ac:dyDescent="0.2">
      <c r="N40" s="19"/>
    </row>
  </sheetData>
  <mergeCells count="2">
    <mergeCell ref="A3:E4"/>
    <mergeCell ref="A34:E35"/>
  </mergeCells>
  <phoneticPr fontId="15" type="noConversion"/>
  <pageMargins left="0.98425196850393704" right="0.98425196850393704" top="0.98425196850393704" bottom="0.98425196850393704" header="0.51181102362204722" footer="0.51181102362204722"/>
  <pageSetup paperSize="9" scale="80" firstPageNumber="13" orientation="portrait" useFirstPageNumber="1" r:id="rId1"/>
  <headerFooter alignWithMargins="0">
    <oddFooter>&amp;L&amp;"Arial CE,Kurzíva"Zastupitelstvo Olomouckého kraje 25. 6. 2018
5. - Rozpočet Olomouckého kraje 2017 - závěrečný  účet 
Příloha č. 2: Plnění rozpočtu příjmů Olomouckého kraje k 31. 12. 2017&amp;R&amp;"Arial CE,Kurzíva"Strana &amp;P (celkem 478)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BF559"/>
  <sheetViews>
    <sheetView showGridLines="0" tabSelected="1" view="pageBreakPreview" topLeftCell="A140" zoomScaleNormal="100" zoomScaleSheetLayoutView="100" workbookViewId="0">
      <selection activeCell="E91" sqref="E91"/>
    </sheetView>
  </sheetViews>
  <sheetFormatPr defaultColWidth="9.140625" defaultRowHeight="14.25" x14ac:dyDescent="0.2"/>
  <cols>
    <col min="1" max="1" width="4.42578125" style="284" customWidth="1"/>
    <col min="2" max="2" width="5.42578125" style="242" customWidth="1"/>
    <col min="3" max="3" width="5" style="26" customWidth="1"/>
    <col min="4" max="4" width="10.28515625" style="27" customWidth="1"/>
    <col min="5" max="5" width="60.7109375" style="151" customWidth="1"/>
    <col min="6" max="6" width="15.7109375" style="28" customWidth="1"/>
    <col min="7" max="7" width="15.7109375" style="29" customWidth="1"/>
    <col min="8" max="8" width="15.7109375" style="28" customWidth="1"/>
    <col min="9" max="9" width="8.85546875" style="28" customWidth="1"/>
    <col min="10" max="10" width="10" style="151" customWidth="1"/>
    <col min="11" max="11" width="17.42578125" style="123" customWidth="1"/>
    <col min="12" max="12" width="18.5703125" style="123" customWidth="1"/>
    <col min="13" max="13" width="17.85546875" style="123" customWidth="1"/>
    <col min="14" max="14" width="14.140625" style="244" customWidth="1"/>
    <col min="15" max="15" width="16.42578125" style="151" customWidth="1"/>
    <col min="16" max="16" width="15.42578125" style="151" customWidth="1"/>
    <col min="17" max="17" width="13.140625" style="151" customWidth="1"/>
    <col min="18" max="18" width="16.5703125" style="151" customWidth="1"/>
    <col min="19" max="19" width="18.140625" style="151" customWidth="1"/>
    <col min="20" max="20" width="11.5703125" style="151" customWidth="1"/>
    <col min="21" max="16384" width="9.140625" style="151"/>
  </cols>
  <sheetData>
    <row r="1" spans="1:14" ht="23.25" x14ac:dyDescent="0.35">
      <c r="A1" s="25" t="s">
        <v>315</v>
      </c>
      <c r="B1" s="25"/>
      <c r="C1" s="283"/>
      <c r="D1" s="283"/>
      <c r="E1" s="283"/>
      <c r="F1" s="283"/>
      <c r="G1" s="283"/>
      <c r="H1" s="283"/>
      <c r="I1" s="283"/>
    </row>
    <row r="2" spans="1:14" ht="23.25" x14ac:dyDescent="0.35">
      <c r="B2" s="25"/>
      <c r="C2" s="283"/>
      <c r="D2" s="283"/>
      <c r="E2" s="283"/>
      <c r="F2" s="283"/>
      <c r="G2" s="283"/>
      <c r="H2" s="283"/>
      <c r="I2" s="283"/>
    </row>
    <row r="3" spans="1:14" ht="15" customHeight="1" x14ac:dyDescent="0.35">
      <c r="A3" s="112" t="s">
        <v>77</v>
      </c>
      <c r="B3" s="84"/>
      <c r="C3" s="242"/>
      <c r="D3" s="242"/>
      <c r="E3" s="242"/>
      <c r="F3" s="242"/>
      <c r="G3" s="242"/>
      <c r="H3" s="242"/>
      <c r="I3" s="242"/>
    </row>
    <row r="4" spans="1:14" ht="13.5" customHeight="1" thickBot="1" x14ac:dyDescent="0.25">
      <c r="A4" s="85"/>
      <c r="I4" s="30" t="s">
        <v>0</v>
      </c>
    </row>
    <row r="5" spans="1:14" s="35" customFormat="1" ht="24.95" customHeight="1" thickTop="1" thickBot="1" x14ac:dyDescent="0.25">
      <c r="A5" s="504" t="s">
        <v>53</v>
      </c>
      <c r="B5" s="66" t="s">
        <v>10</v>
      </c>
      <c r="C5" s="31" t="s">
        <v>2</v>
      </c>
      <c r="D5" s="344" t="s">
        <v>310</v>
      </c>
      <c r="E5" s="32" t="s">
        <v>3</v>
      </c>
      <c r="F5" s="511" t="s">
        <v>291</v>
      </c>
      <c r="G5" s="511" t="s">
        <v>292</v>
      </c>
      <c r="H5" s="33" t="s">
        <v>14</v>
      </c>
      <c r="I5" s="34" t="s">
        <v>15</v>
      </c>
      <c r="K5" s="137"/>
      <c r="L5" s="137"/>
      <c r="M5" s="137"/>
      <c r="N5" s="285"/>
    </row>
    <row r="6" spans="1:14" s="36" customFormat="1" ht="12.75" thickTop="1" x14ac:dyDescent="0.2">
      <c r="A6" s="80">
        <v>1</v>
      </c>
      <c r="B6" s="75">
        <v>2</v>
      </c>
      <c r="C6" s="76">
        <v>3</v>
      </c>
      <c r="D6" s="75">
        <v>4</v>
      </c>
      <c r="E6" s="76">
        <v>5</v>
      </c>
      <c r="F6" s="75">
        <v>6</v>
      </c>
      <c r="G6" s="77">
        <v>7</v>
      </c>
      <c r="H6" s="78">
        <v>8</v>
      </c>
      <c r="I6" s="79" t="s">
        <v>54</v>
      </c>
      <c r="J6" s="35"/>
      <c r="K6" s="184"/>
      <c r="L6" s="184"/>
      <c r="M6" s="184"/>
      <c r="N6" s="286"/>
    </row>
    <row r="7" spans="1:14" s="36" customFormat="1" ht="15" x14ac:dyDescent="0.25">
      <c r="A7" s="287" t="s">
        <v>93</v>
      </c>
      <c r="B7" s="128">
        <v>6113</v>
      </c>
      <c r="C7" s="264">
        <v>2324</v>
      </c>
      <c r="D7" s="70"/>
      <c r="E7" s="133" t="s">
        <v>18</v>
      </c>
      <c r="F7" s="502">
        <v>0</v>
      </c>
      <c r="G7" s="173">
        <v>0</v>
      </c>
      <c r="H7" s="129">
        <v>10</v>
      </c>
      <c r="I7" s="130">
        <v>0</v>
      </c>
      <c r="J7" s="35"/>
      <c r="K7" s="345"/>
      <c r="L7" s="345"/>
      <c r="M7" s="345"/>
      <c r="N7" s="286"/>
    </row>
    <row r="8" spans="1:14" s="295" customFormat="1" ht="15" customHeight="1" x14ac:dyDescent="0.2">
      <c r="A8" s="288" t="s">
        <v>93</v>
      </c>
      <c r="B8" s="289"/>
      <c r="C8" s="290"/>
      <c r="D8" s="291"/>
      <c r="E8" s="102" t="s">
        <v>81</v>
      </c>
      <c r="F8" s="292">
        <f>F2+F3</f>
        <v>0</v>
      </c>
      <c r="G8" s="293">
        <v>0</v>
      </c>
      <c r="H8" s="293">
        <f>H7</f>
        <v>10</v>
      </c>
      <c r="I8" s="103">
        <v>0</v>
      </c>
      <c r="J8" s="104"/>
      <c r="K8" s="365">
        <v>0</v>
      </c>
      <c r="L8" s="365">
        <v>0</v>
      </c>
      <c r="M8" s="578">
        <v>9965</v>
      </c>
      <c r="N8" s="294"/>
    </row>
    <row r="9" spans="1:14" s="36" customFormat="1" ht="15" x14ac:dyDescent="0.2">
      <c r="A9" s="93" t="s">
        <v>55</v>
      </c>
      <c r="B9" s="296">
        <v>6172</v>
      </c>
      <c r="C9" s="264">
        <v>2131</v>
      </c>
      <c r="D9" s="70"/>
      <c r="E9" s="54" t="s">
        <v>17</v>
      </c>
      <c r="F9" s="172">
        <v>43</v>
      </c>
      <c r="G9" s="173">
        <v>43</v>
      </c>
      <c r="H9" s="174">
        <v>43</v>
      </c>
      <c r="I9" s="40">
        <f>(H9/G9)*100</f>
        <v>100</v>
      </c>
      <c r="J9" s="35"/>
      <c r="K9" s="184"/>
      <c r="L9" s="184"/>
      <c r="M9" s="184"/>
      <c r="N9" s="286"/>
    </row>
    <row r="10" spans="1:14" s="36" customFormat="1" ht="15" x14ac:dyDescent="0.2">
      <c r="A10" s="93" t="s">
        <v>55</v>
      </c>
      <c r="B10" s="296">
        <v>6172</v>
      </c>
      <c r="C10" s="264">
        <v>2132</v>
      </c>
      <c r="D10" s="70"/>
      <c r="E10" s="59" t="s">
        <v>34</v>
      </c>
      <c r="F10" s="172">
        <v>157</v>
      </c>
      <c r="G10" s="173">
        <v>157</v>
      </c>
      <c r="H10" s="174">
        <v>169</v>
      </c>
      <c r="I10" s="40">
        <f>(H10/G10)*100</f>
        <v>107.64331210191082</v>
      </c>
      <c r="J10" s="35"/>
      <c r="K10" s="184"/>
      <c r="L10" s="184"/>
      <c r="M10" s="184"/>
      <c r="N10" s="286"/>
    </row>
    <row r="11" spans="1:14" s="36" customFormat="1" ht="15" x14ac:dyDescent="0.2">
      <c r="A11" s="93" t="s">
        <v>55</v>
      </c>
      <c r="B11" s="296">
        <v>6172</v>
      </c>
      <c r="C11" s="264">
        <v>2133</v>
      </c>
      <c r="D11" s="70"/>
      <c r="E11" s="59" t="s">
        <v>24</v>
      </c>
      <c r="F11" s="172">
        <v>142</v>
      </c>
      <c r="G11" s="173">
        <v>142</v>
      </c>
      <c r="H11" s="174">
        <v>144</v>
      </c>
      <c r="I11" s="40">
        <f>(H11/G11)*100</f>
        <v>101.40845070422534</v>
      </c>
      <c r="J11" s="35"/>
      <c r="K11" s="184"/>
      <c r="L11" s="184"/>
      <c r="M11" s="184"/>
      <c r="N11" s="286"/>
    </row>
    <row r="12" spans="1:14" s="36" customFormat="1" ht="15" hidden="1" x14ac:dyDescent="0.2">
      <c r="A12" s="93" t="s">
        <v>55</v>
      </c>
      <c r="B12" s="296">
        <v>6172</v>
      </c>
      <c r="C12" s="264">
        <v>2212</v>
      </c>
      <c r="D12" s="70"/>
      <c r="E12" s="51" t="s">
        <v>85</v>
      </c>
      <c r="F12" s="172">
        <v>0</v>
      </c>
      <c r="G12" s="173">
        <v>0</v>
      </c>
      <c r="H12" s="174">
        <v>0</v>
      </c>
      <c r="I12" s="40">
        <v>0</v>
      </c>
      <c r="J12" s="35"/>
      <c r="K12" s="184"/>
      <c r="L12" s="184"/>
      <c r="M12" s="184"/>
      <c r="N12" s="286"/>
    </row>
    <row r="13" spans="1:14" s="36" customFormat="1" ht="15" x14ac:dyDescent="0.2">
      <c r="A13" s="93" t="s">
        <v>55</v>
      </c>
      <c r="B13" s="296">
        <v>6172</v>
      </c>
      <c r="C13" s="264">
        <v>2310</v>
      </c>
      <c r="D13" s="70"/>
      <c r="E13" s="132" t="s">
        <v>387</v>
      </c>
      <c r="F13" s="172">
        <v>0</v>
      </c>
      <c r="G13" s="173">
        <v>0</v>
      </c>
      <c r="H13" s="174">
        <v>44</v>
      </c>
      <c r="I13" s="40">
        <v>0</v>
      </c>
      <c r="J13" s="35"/>
      <c r="K13" s="184"/>
      <c r="L13" s="184"/>
      <c r="M13" s="184"/>
      <c r="N13" s="286"/>
    </row>
    <row r="14" spans="1:14" s="36" customFormat="1" ht="15" x14ac:dyDescent="0.2">
      <c r="A14" s="93" t="s">
        <v>55</v>
      </c>
      <c r="B14" s="296">
        <v>6172</v>
      </c>
      <c r="C14" s="264">
        <v>2324</v>
      </c>
      <c r="D14" s="70"/>
      <c r="E14" s="54" t="s">
        <v>18</v>
      </c>
      <c r="F14" s="172">
        <v>0</v>
      </c>
      <c r="G14" s="170">
        <v>1380</v>
      </c>
      <c r="H14" s="171">
        <v>2282</v>
      </c>
      <c r="I14" s="40">
        <f>(H14/G14)*100</f>
        <v>165.36231884057969</v>
      </c>
      <c r="J14" s="35"/>
      <c r="K14" s="184"/>
      <c r="L14" s="184"/>
      <c r="M14" s="184"/>
      <c r="N14" s="286"/>
    </row>
    <row r="15" spans="1:14" s="36" customFormat="1" ht="15" hidden="1" x14ac:dyDescent="0.2">
      <c r="A15" s="93" t="s">
        <v>55</v>
      </c>
      <c r="B15" s="296">
        <v>6172</v>
      </c>
      <c r="C15" s="264">
        <v>3113</v>
      </c>
      <c r="D15" s="70"/>
      <c r="E15" s="54" t="s">
        <v>287</v>
      </c>
      <c r="F15" s="172">
        <v>0</v>
      </c>
      <c r="G15" s="170">
        <v>0</v>
      </c>
      <c r="H15" s="171">
        <v>0</v>
      </c>
      <c r="I15" s="40">
        <v>0</v>
      </c>
      <c r="J15" s="35"/>
      <c r="K15" s="184"/>
      <c r="L15" s="184"/>
      <c r="M15" s="184"/>
      <c r="N15" s="286"/>
    </row>
    <row r="16" spans="1:14" s="36" customFormat="1" ht="15" x14ac:dyDescent="0.2">
      <c r="A16" s="93" t="s">
        <v>55</v>
      </c>
      <c r="B16" s="296">
        <v>6402</v>
      </c>
      <c r="C16" s="264">
        <v>2223</v>
      </c>
      <c r="D16" s="517" t="s">
        <v>217</v>
      </c>
      <c r="E16" s="54" t="s">
        <v>288</v>
      </c>
      <c r="F16" s="172">
        <v>0</v>
      </c>
      <c r="G16" s="173">
        <v>9</v>
      </c>
      <c r="H16" s="171">
        <v>140</v>
      </c>
      <c r="I16" s="40">
        <f>(H16/G16)*100</f>
        <v>1555.5555555555554</v>
      </c>
      <c r="J16" s="35"/>
      <c r="K16" s="184"/>
      <c r="L16" s="184"/>
      <c r="M16" s="184"/>
      <c r="N16" s="286"/>
    </row>
    <row r="17" spans="1:14" s="36" customFormat="1" ht="15" hidden="1" x14ac:dyDescent="0.2">
      <c r="A17" s="93" t="s">
        <v>55</v>
      </c>
      <c r="B17" s="296">
        <v>6402</v>
      </c>
      <c r="C17" s="264">
        <v>2229</v>
      </c>
      <c r="D17" s="517" t="s">
        <v>217</v>
      </c>
      <c r="E17" s="54" t="s">
        <v>29</v>
      </c>
      <c r="F17" s="172">
        <v>0</v>
      </c>
      <c r="G17" s="173">
        <v>0</v>
      </c>
      <c r="H17" s="171">
        <v>0</v>
      </c>
      <c r="I17" s="40" t="e">
        <f>(H17/G17)*100</f>
        <v>#DIV/0!</v>
      </c>
      <c r="J17" s="35"/>
      <c r="K17" s="184"/>
      <c r="L17" s="184"/>
      <c r="M17" s="184"/>
      <c r="N17" s="286"/>
    </row>
    <row r="18" spans="1:14" s="295" customFormat="1" ht="15" customHeight="1" x14ac:dyDescent="0.2">
      <c r="A18" s="288" t="s">
        <v>55</v>
      </c>
      <c r="B18" s="289"/>
      <c r="C18" s="297"/>
      <c r="D18" s="291"/>
      <c r="E18" s="102" t="s">
        <v>81</v>
      </c>
      <c r="F18" s="292">
        <f>F9+F10+F11+F12+F13+F14+F15+F16+F17</f>
        <v>342</v>
      </c>
      <c r="G18" s="292">
        <f t="shared" ref="G18:H18" si="0">G9+G10+G11+G12+G13+G14+G15+G16+G17</f>
        <v>1731</v>
      </c>
      <c r="H18" s="292">
        <f t="shared" si="0"/>
        <v>2822</v>
      </c>
      <c r="I18" s="103">
        <f t="shared" ref="I18:I31" si="1">(H18/G18)*100</f>
        <v>163.0271519352975</v>
      </c>
      <c r="J18" s="104"/>
      <c r="K18" s="365">
        <v>342000</v>
      </c>
      <c r="L18" s="365">
        <v>1730843.64</v>
      </c>
      <c r="M18" s="365">
        <v>2822402.58</v>
      </c>
      <c r="N18" s="294"/>
    </row>
    <row r="19" spans="1:14" s="380" customFormat="1" ht="15" x14ac:dyDescent="0.2">
      <c r="A19" s="372" t="s">
        <v>56</v>
      </c>
      <c r="B19" s="373"/>
      <c r="C19" s="374">
        <v>1361</v>
      </c>
      <c r="D19" s="375"/>
      <c r="E19" s="376" t="s">
        <v>1</v>
      </c>
      <c r="F19" s="172">
        <v>120</v>
      </c>
      <c r="G19" s="366">
        <v>120</v>
      </c>
      <c r="H19" s="172">
        <v>175</v>
      </c>
      <c r="I19" s="377">
        <f t="shared" si="1"/>
        <v>145.83333333333331</v>
      </c>
      <c r="J19" s="140"/>
      <c r="K19" s="378"/>
      <c r="L19" s="378"/>
      <c r="M19" s="378"/>
      <c r="N19" s="379"/>
    </row>
    <row r="20" spans="1:14" s="380" customFormat="1" ht="15" hidden="1" x14ac:dyDescent="0.2">
      <c r="A20" s="372" t="s">
        <v>56</v>
      </c>
      <c r="B20" s="373">
        <v>2251</v>
      </c>
      <c r="C20" s="374">
        <v>2129</v>
      </c>
      <c r="D20" s="375"/>
      <c r="E20" s="376" t="s">
        <v>46</v>
      </c>
      <c r="F20" s="172"/>
      <c r="G20" s="366"/>
      <c r="H20" s="172"/>
      <c r="I20" s="377">
        <v>0</v>
      </c>
      <c r="J20" s="140"/>
      <c r="K20" s="378"/>
      <c r="L20" s="378"/>
      <c r="M20" s="378"/>
      <c r="N20" s="379"/>
    </row>
    <row r="21" spans="1:14" s="36" customFormat="1" ht="15" x14ac:dyDescent="0.2">
      <c r="A21" s="93" t="s">
        <v>56</v>
      </c>
      <c r="B21" s="296">
        <v>6172</v>
      </c>
      <c r="C21" s="264">
        <v>2119</v>
      </c>
      <c r="D21" s="70"/>
      <c r="E21" s="54" t="s">
        <v>46</v>
      </c>
      <c r="F21" s="172">
        <v>100</v>
      </c>
      <c r="G21" s="173">
        <v>100</v>
      </c>
      <c r="H21" s="174">
        <v>137</v>
      </c>
      <c r="I21" s="40">
        <f t="shared" si="1"/>
        <v>137</v>
      </c>
      <c r="J21" s="35"/>
      <c r="K21" s="184"/>
      <c r="L21" s="184"/>
      <c r="M21" s="184"/>
      <c r="N21" s="286"/>
    </row>
    <row r="22" spans="1:14" s="36" customFormat="1" ht="15" x14ac:dyDescent="0.2">
      <c r="A22" s="93" t="s">
        <v>56</v>
      </c>
      <c r="B22" s="296">
        <v>6172</v>
      </c>
      <c r="C22" s="264">
        <v>2131</v>
      </c>
      <c r="D22" s="70"/>
      <c r="E22" s="132" t="s">
        <v>17</v>
      </c>
      <c r="F22" s="172">
        <v>180</v>
      </c>
      <c r="G22" s="173">
        <v>180</v>
      </c>
      <c r="H22" s="174">
        <v>179</v>
      </c>
      <c r="I22" s="40">
        <f t="shared" si="1"/>
        <v>99.444444444444443</v>
      </c>
      <c r="J22" s="35"/>
      <c r="K22" s="184"/>
      <c r="L22" s="184"/>
      <c r="M22" s="184"/>
      <c r="N22" s="286"/>
    </row>
    <row r="23" spans="1:14" s="36" customFormat="1" ht="15" x14ac:dyDescent="0.2">
      <c r="A23" s="93" t="s">
        <v>56</v>
      </c>
      <c r="B23" s="296">
        <v>6172</v>
      </c>
      <c r="C23" s="264">
        <v>2212</v>
      </c>
      <c r="D23" s="70"/>
      <c r="E23" s="132" t="s">
        <v>85</v>
      </c>
      <c r="F23" s="172">
        <v>30</v>
      </c>
      <c r="G23" s="173">
        <v>30</v>
      </c>
      <c r="H23" s="174">
        <f>30+4</f>
        <v>34</v>
      </c>
      <c r="I23" s="40">
        <f>(H23/G23)*100</f>
        <v>113.33333333333333</v>
      </c>
      <c r="J23" s="35"/>
      <c r="K23" s="184"/>
      <c r="L23" s="184"/>
      <c r="M23" s="184"/>
      <c r="N23" s="286"/>
    </row>
    <row r="24" spans="1:14" s="36" customFormat="1" ht="15" x14ac:dyDescent="0.2">
      <c r="A24" s="93" t="s">
        <v>56</v>
      </c>
      <c r="B24" s="296">
        <v>6172</v>
      </c>
      <c r="C24" s="264">
        <v>2324</v>
      </c>
      <c r="D24" s="70"/>
      <c r="E24" s="54" t="s">
        <v>18</v>
      </c>
      <c r="F24" s="172">
        <v>200</v>
      </c>
      <c r="G24" s="173">
        <v>200</v>
      </c>
      <c r="H24" s="174">
        <v>110</v>
      </c>
      <c r="I24" s="40">
        <f t="shared" si="1"/>
        <v>55.000000000000007</v>
      </c>
      <c r="J24" s="35"/>
      <c r="K24" s="184"/>
      <c r="L24" s="184"/>
      <c r="M24" s="184"/>
      <c r="N24" s="286"/>
    </row>
    <row r="25" spans="1:14" s="36" customFormat="1" ht="15" x14ac:dyDescent="0.2">
      <c r="A25" s="93" t="s">
        <v>56</v>
      </c>
      <c r="B25" s="296">
        <v>6172</v>
      </c>
      <c r="C25" s="264">
        <v>3111</v>
      </c>
      <c r="D25" s="70"/>
      <c r="E25" s="54" t="s">
        <v>12</v>
      </c>
      <c r="F25" s="69">
        <v>500</v>
      </c>
      <c r="G25" s="65">
        <v>500</v>
      </c>
      <c r="H25" s="68">
        <v>751</v>
      </c>
      <c r="I25" s="40">
        <f t="shared" si="1"/>
        <v>150.19999999999999</v>
      </c>
      <c r="J25" s="35"/>
      <c r="K25" s="184"/>
      <c r="L25" s="184"/>
      <c r="M25" s="184"/>
      <c r="N25" s="286"/>
    </row>
    <row r="26" spans="1:14" s="36" customFormat="1" ht="15" x14ac:dyDescent="0.2">
      <c r="A26" s="93" t="s">
        <v>56</v>
      </c>
      <c r="B26" s="296">
        <v>6172</v>
      </c>
      <c r="C26" s="264">
        <v>3112</v>
      </c>
      <c r="D26" s="70"/>
      <c r="E26" s="54" t="s">
        <v>289</v>
      </c>
      <c r="F26" s="69">
        <v>12700</v>
      </c>
      <c r="G26" s="65">
        <v>12700</v>
      </c>
      <c r="H26" s="68">
        <v>13590</v>
      </c>
      <c r="I26" s="40">
        <f t="shared" si="1"/>
        <v>107.00787401574803</v>
      </c>
      <c r="J26" s="35"/>
      <c r="K26" s="184"/>
      <c r="L26" s="184"/>
      <c r="M26" s="184"/>
      <c r="N26" s="286"/>
    </row>
    <row r="27" spans="1:14" s="36" customFormat="1" ht="15" hidden="1" x14ac:dyDescent="0.2">
      <c r="A27" s="93" t="s">
        <v>56</v>
      </c>
      <c r="B27" s="296">
        <v>6172</v>
      </c>
      <c r="C27" s="264">
        <v>3119</v>
      </c>
      <c r="D27" s="70"/>
      <c r="E27" s="54" t="s">
        <v>218</v>
      </c>
      <c r="F27" s="69"/>
      <c r="G27" s="65"/>
      <c r="H27" s="68"/>
      <c r="I27" s="40" t="e">
        <f t="shared" si="1"/>
        <v>#DIV/0!</v>
      </c>
      <c r="J27" s="35"/>
      <c r="K27" s="184"/>
      <c r="L27" s="184"/>
      <c r="M27" s="184"/>
      <c r="N27" s="286"/>
    </row>
    <row r="28" spans="1:14" s="295" customFormat="1" ht="15" customHeight="1" x14ac:dyDescent="0.2">
      <c r="A28" s="288" t="s">
        <v>56</v>
      </c>
      <c r="B28" s="289"/>
      <c r="C28" s="297"/>
      <c r="D28" s="291"/>
      <c r="E28" s="102" t="s">
        <v>81</v>
      </c>
      <c r="F28" s="298">
        <f>F25+F26+F19+F20+F21+F22+F24+F23+F27</f>
        <v>13830</v>
      </c>
      <c r="G28" s="298">
        <f t="shared" ref="G28:H28" si="2">G25+G26+G19+G20+G21+G22+G24+G23+G27</f>
        <v>13830</v>
      </c>
      <c r="H28" s="298">
        <f t="shared" si="2"/>
        <v>14976</v>
      </c>
      <c r="I28" s="103">
        <f t="shared" si="1"/>
        <v>108.28633405639914</v>
      </c>
      <c r="J28" s="104"/>
      <c r="K28" s="365">
        <v>13830000</v>
      </c>
      <c r="L28" s="365">
        <v>13830000</v>
      </c>
      <c r="M28" s="365">
        <v>14975792.33</v>
      </c>
      <c r="N28" s="294"/>
    </row>
    <row r="29" spans="1:14" s="36" customFormat="1" ht="15" hidden="1" x14ac:dyDescent="0.2">
      <c r="A29" s="93" t="s">
        <v>57</v>
      </c>
      <c r="B29" s="296"/>
      <c r="C29" s="264">
        <v>1361</v>
      </c>
      <c r="D29" s="70"/>
      <c r="E29" s="54" t="s">
        <v>1</v>
      </c>
      <c r="F29" s="169"/>
      <c r="G29" s="170"/>
      <c r="H29" s="171"/>
      <c r="I29" s="40" t="e">
        <f t="shared" si="1"/>
        <v>#DIV/0!</v>
      </c>
      <c r="J29" s="35"/>
      <c r="K29" s="184"/>
      <c r="L29" s="184"/>
      <c r="M29" s="184"/>
      <c r="N29" s="286"/>
    </row>
    <row r="30" spans="1:14" s="36" customFormat="1" ht="15" hidden="1" x14ac:dyDescent="0.25">
      <c r="A30" s="93" t="s">
        <v>57</v>
      </c>
      <c r="B30" s="296">
        <v>6172</v>
      </c>
      <c r="C30" s="264">
        <v>2212</v>
      </c>
      <c r="D30" s="70"/>
      <c r="E30" s="52" t="s">
        <v>85</v>
      </c>
      <c r="F30" s="169"/>
      <c r="G30" s="170"/>
      <c r="H30" s="171"/>
      <c r="I30" s="40" t="e">
        <f t="shared" si="1"/>
        <v>#DIV/0!</v>
      </c>
      <c r="J30" s="35"/>
      <c r="K30" s="184"/>
      <c r="L30" s="184"/>
      <c r="M30" s="184"/>
      <c r="N30" s="286"/>
    </row>
    <row r="31" spans="1:14" s="36" customFormat="1" ht="15" hidden="1" x14ac:dyDescent="0.2">
      <c r="A31" s="93" t="s">
        <v>57</v>
      </c>
      <c r="B31" s="296">
        <v>6172</v>
      </c>
      <c r="C31" s="264">
        <v>2324</v>
      </c>
      <c r="D31" s="70"/>
      <c r="E31" s="54" t="s">
        <v>18</v>
      </c>
      <c r="F31" s="169"/>
      <c r="G31" s="170"/>
      <c r="H31" s="171"/>
      <c r="I31" s="40" t="e">
        <f t="shared" si="1"/>
        <v>#DIV/0!</v>
      </c>
      <c r="J31" s="35"/>
      <c r="K31" s="184"/>
      <c r="L31" s="184"/>
      <c r="M31" s="184"/>
      <c r="N31" s="286"/>
    </row>
    <row r="32" spans="1:14" s="295" customFormat="1" ht="15" hidden="1" customHeight="1" x14ac:dyDescent="0.2">
      <c r="A32" s="288" t="s">
        <v>57</v>
      </c>
      <c r="B32" s="289"/>
      <c r="C32" s="297"/>
      <c r="D32" s="291"/>
      <c r="E32" s="102" t="s">
        <v>81</v>
      </c>
      <c r="F32" s="298">
        <f>SUM(F29:F31)</f>
        <v>0</v>
      </c>
      <c r="G32" s="298">
        <f t="shared" ref="G32:H32" si="3">SUM(G29:G31)</f>
        <v>0</v>
      </c>
      <c r="H32" s="298">
        <f t="shared" si="3"/>
        <v>0</v>
      </c>
      <c r="I32" s="103" t="e">
        <f t="shared" ref="I32:I37" si="4">(H32/G32)*100</f>
        <v>#DIV/0!</v>
      </c>
      <c r="J32" s="104"/>
      <c r="K32" s="365"/>
      <c r="L32" s="365"/>
      <c r="M32" s="365"/>
      <c r="N32" s="294"/>
    </row>
    <row r="33" spans="1:14" s="37" customFormat="1" ht="15" x14ac:dyDescent="0.2">
      <c r="A33" s="82" t="s">
        <v>58</v>
      </c>
      <c r="B33" s="95"/>
      <c r="C33" s="73">
        <v>1111</v>
      </c>
      <c r="D33" s="38"/>
      <c r="E33" s="134" t="s">
        <v>380</v>
      </c>
      <c r="F33" s="164">
        <v>900000</v>
      </c>
      <c r="G33" s="165">
        <v>900000</v>
      </c>
      <c r="H33" s="164">
        <v>1015834</v>
      </c>
      <c r="I33" s="40">
        <f>(H33/G33)*100</f>
        <v>112.87044444444444</v>
      </c>
      <c r="K33" s="191"/>
      <c r="L33" s="191"/>
      <c r="M33" s="191"/>
      <c r="N33" s="299"/>
    </row>
    <row r="34" spans="1:14" s="37" customFormat="1" ht="15" x14ac:dyDescent="0.2">
      <c r="A34" s="82" t="s">
        <v>58</v>
      </c>
      <c r="B34" s="95"/>
      <c r="C34" s="73">
        <v>1112</v>
      </c>
      <c r="D34" s="38"/>
      <c r="E34" s="134" t="s">
        <v>381</v>
      </c>
      <c r="F34" s="166">
        <v>20000</v>
      </c>
      <c r="G34" s="167">
        <v>20000</v>
      </c>
      <c r="H34" s="168">
        <v>27651</v>
      </c>
      <c r="I34" s="40">
        <f t="shared" si="4"/>
        <v>138.255</v>
      </c>
      <c r="K34" s="191"/>
      <c r="L34" s="191"/>
      <c r="M34" s="191"/>
      <c r="N34" s="299"/>
    </row>
    <row r="35" spans="1:14" s="35" customFormat="1" ht="15" x14ac:dyDescent="0.2">
      <c r="A35" s="81" t="s">
        <v>58</v>
      </c>
      <c r="B35" s="45"/>
      <c r="C35" s="74">
        <v>1113</v>
      </c>
      <c r="D35" s="39"/>
      <c r="E35" s="54" t="s">
        <v>382</v>
      </c>
      <c r="F35" s="164">
        <v>80000</v>
      </c>
      <c r="G35" s="165">
        <v>80000</v>
      </c>
      <c r="H35" s="164">
        <v>96416</v>
      </c>
      <c r="I35" s="40">
        <f t="shared" si="4"/>
        <v>120.52000000000001</v>
      </c>
      <c r="K35" s="137"/>
      <c r="L35" s="137"/>
      <c r="M35" s="137"/>
      <c r="N35" s="285"/>
    </row>
    <row r="36" spans="1:14" s="37" customFormat="1" ht="15" x14ac:dyDescent="0.25">
      <c r="A36" s="82" t="s">
        <v>58</v>
      </c>
      <c r="B36" s="95"/>
      <c r="C36" s="73">
        <v>1121</v>
      </c>
      <c r="D36" s="38"/>
      <c r="E36" s="134" t="s">
        <v>21</v>
      </c>
      <c r="F36" s="158">
        <v>950000</v>
      </c>
      <c r="G36" s="159">
        <v>950000</v>
      </c>
      <c r="H36" s="158">
        <v>1026768</v>
      </c>
      <c r="I36" s="40">
        <f t="shared" si="4"/>
        <v>108.08084210526316</v>
      </c>
      <c r="K36" s="191"/>
      <c r="L36" s="191"/>
      <c r="M36" s="191"/>
      <c r="N36" s="299"/>
    </row>
    <row r="37" spans="1:14" s="35" customFormat="1" ht="15" customHeight="1" x14ac:dyDescent="0.25">
      <c r="A37" s="82" t="s">
        <v>58</v>
      </c>
      <c r="B37" s="45"/>
      <c r="C37" s="72">
        <v>1123</v>
      </c>
      <c r="D37" s="39"/>
      <c r="E37" s="58" t="s">
        <v>28</v>
      </c>
      <c r="F37" s="158">
        <v>0</v>
      </c>
      <c r="G37" s="159">
        <v>48582</v>
      </c>
      <c r="H37" s="158">
        <v>48582</v>
      </c>
      <c r="I37" s="40">
        <f t="shared" si="4"/>
        <v>100</v>
      </c>
      <c r="K37" s="137"/>
      <c r="L37" s="137"/>
      <c r="M37" s="137"/>
      <c r="N37" s="285"/>
    </row>
    <row r="38" spans="1:14" s="35" customFormat="1" ht="15" x14ac:dyDescent="0.25">
      <c r="A38" s="82" t="s">
        <v>58</v>
      </c>
      <c r="B38" s="45"/>
      <c r="C38" s="72">
        <v>1211</v>
      </c>
      <c r="D38" s="39"/>
      <c r="E38" s="54" t="s">
        <v>7</v>
      </c>
      <c r="F38" s="158">
        <v>2150000</v>
      </c>
      <c r="G38" s="159">
        <v>2150000</v>
      </c>
      <c r="H38" s="158">
        <v>2298469</v>
      </c>
      <c r="I38" s="40">
        <f t="shared" ref="I38" si="5">(H38/G38)*100</f>
        <v>106.90553488372092</v>
      </c>
      <c r="K38" s="137"/>
      <c r="L38" s="137"/>
      <c r="M38" s="137"/>
      <c r="N38" s="285"/>
    </row>
    <row r="39" spans="1:14" s="35" customFormat="1" ht="15" x14ac:dyDescent="0.25">
      <c r="A39" s="82" t="s">
        <v>58</v>
      </c>
      <c r="B39" s="94"/>
      <c r="C39" s="72">
        <v>4111</v>
      </c>
      <c r="D39" s="71"/>
      <c r="E39" s="54" t="s">
        <v>383</v>
      </c>
      <c r="F39" s="158">
        <f>F42+F45+F46+F47+F44+F40+F41</f>
        <v>0</v>
      </c>
      <c r="G39" s="158">
        <f t="shared" ref="G39:H39" si="6">G42+G45+G46+G47+G44+G40+G41</f>
        <v>3542</v>
      </c>
      <c r="H39" s="158">
        <f t="shared" si="6"/>
        <v>3542</v>
      </c>
      <c r="I39" s="16">
        <f t="shared" ref="I39:I58" si="7">(H39/G39)*100</f>
        <v>100</v>
      </c>
      <c r="K39" s="137"/>
      <c r="L39" s="137"/>
      <c r="M39" s="137"/>
      <c r="N39" s="285"/>
    </row>
    <row r="40" spans="1:14" s="35" customFormat="1" ht="12.75" x14ac:dyDescent="0.2">
      <c r="A40" s="82"/>
      <c r="B40" s="94"/>
      <c r="C40" s="72"/>
      <c r="D40" s="561" t="s">
        <v>316</v>
      </c>
      <c r="E40" s="559" t="s">
        <v>318</v>
      </c>
      <c r="F40" s="455">
        <v>0</v>
      </c>
      <c r="G40" s="455">
        <v>30</v>
      </c>
      <c r="H40" s="455">
        <v>30</v>
      </c>
      <c r="I40" s="543">
        <f t="shared" si="7"/>
        <v>100</v>
      </c>
      <c r="K40" s="137"/>
      <c r="L40" s="137"/>
      <c r="M40" s="137"/>
      <c r="N40" s="285"/>
    </row>
    <row r="41" spans="1:14" s="35" customFormat="1" ht="25.5" x14ac:dyDescent="0.2">
      <c r="A41" s="82"/>
      <c r="B41" s="94"/>
      <c r="C41" s="72"/>
      <c r="D41" s="561" t="s">
        <v>317</v>
      </c>
      <c r="E41" s="560" t="s">
        <v>319</v>
      </c>
      <c r="F41" s="545">
        <v>0</v>
      </c>
      <c r="G41" s="545">
        <v>100</v>
      </c>
      <c r="H41" s="545">
        <v>100</v>
      </c>
      <c r="I41" s="543">
        <f t="shared" si="7"/>
        <v>100</v>
      </c>
      <c r="K41" s="137"/>
      <c r="L41" s="137"/>
      <c r="M41" s="137"/>
      <c r="N41" s="285"/>
    </row>
    <row r="42" spans="1:14" s="35" customFormat="1" ht="11.25" x14ac:dyDescent="0.2">
      <c r="A42" s="664"/>
      <c r="B42" s="673"/>
      <c r="C42" s="675"/>
      <c r="D42" s="668" t="s">
        <v>136</v>
      </c>
      <c r="E42" s="666" t="s">
        <v>181</v>
      </c>
      <c r="F42" s="661">
        <v>0</v>
      </c>
      <c r="G42" s="652">
        <v>30</v>
      </c>
      <c r="H42" s="652">
        <v>30</v>
      </c>
      <c r="I42" s="656">
        <f t="shared" si="7"/>
        <v>100</v>
      </c>
      <c r="K42" s="137"/>
      <c r="L42" s="137"/>
      <c r="M42" s="137"/>
      <c r="N42" s="285"/>
    </row>
    <row r="43" spans="1:14" s="35" customFormat="1" ht="14.25" customHeight="1" x14ac:dyDescent="0.2">
      <c r="A43" s="665"/>
      <c r="B43" s="674"/>
      <c r="C43" s="676"/>
      <c r="D43" s="669"/>
      <c r="E43" s="667"/>
      <c r="F43" s="661"/>
      <c r="G43" s="662"/>
      <c r="H43" s="662"/>
      <c r="I43" s="663"/>
      <c r="K43" s="137"/>
      <c r="L43" s="137"/>
      <c r="M43" s="137"/>
      <c r="N43" s="285"/>
    </row>
    <row r="44" spans="1:14" s="35" customFormat="1" ht="26.25" hidden="1" customHeight="1" x14ac:dyDescent="0.2">
      <c r="A44" s="82" t="s">
        <v>58</v>
      </c>
      <c r="B44" s="447"/>
      <c r="C44" s="450"/>
      <c r="D44" s="515" t="s">
        <v>219</v>
      </c>
      <c r="E44" s="317" t="s">
        <v>308</v>
      </c>
      <c r="F44" s="451"/>
      <c r="G44" s="538"/>
      <c r="H44" s="539"/>
      <c r="I44" s="531" t="e">
        <f t="shared" si="7"/>
        <v>#DIV/0!</v>
      </c>
      <c r="K44" s="137"/>
      <c r="L44" s="137"/>
      <c r="M44" s="137"/>
      <c r="N44" s="285"/>
    </row>
    <row r="45" spans="1:14" s="35" customFormat="1" ht="12.75" x14ac:dyDescent="0.2">
      <c r="A45" s="82"/>
      <c r="B45" s="282"/>
      <c r="C45" s="72"/>
      <c r="D45" s="515" t="s">
        <v>137</v>
      </c>
      <c r="E45" s="135" t="s">
        <v>94</v>
      </c>
      <c r="F45" s="451">
        <v>0</v>
      </c>
      <c r="G45" s="429">
        <v>370</v>
      </c>
      <c r="H45" s="452">
        <v>370</v>
      </c>
      <c r="I45" s="453">
        <f t="shared" si="7"/>
        <v>100</v>
      </c>
      <c r="K45" s="137"/>
      <c r="L45" s="137"/>
      <c r="M45" s="137"/>
      <c r="N45" s="285"/>
    </row>
    <row r="46" spans="1:14" s="35" customFormat="1" ht="12.75" x14ac:dyDescent="0.2">
      <c r="A46" s="82"/>
      <c r="B46" s="282"/>
      <c r="C46" s="72"/>
      <c r="D46" s="515" t="s">
        <v>138</v>
      </c>
      <c r="E46" s="136" t="s">
        <v>95</v>
      </c>
      <c r="F46" s="451">
        <v>0</v>
      </c>
      <c r="G46" s="429">
        <v>943</v>
      </c>
      <c r="H46" s="452">
        <v>943</v>
      </c>
      <c r="I46" s="454">
        <f t="shared" si="7"/>
        <v>100</v>
      </c>
      <c r="K46" s="137"/>
      <c r="L46" s="137"/>
      <c r="M46" s="137"/>
      <c r="N46" s="285"/>
    </row>
    <row r="47" spans="1:14" s="35" customFormat="1" ht="12.75" x14ac:dyDescent="0.2">
      <c r="A47" s="82"/>
      <c r="B47" s="282"/>
      <c r="C47" s="72"/>
      <c r="D47" s="515" t="s">
        <v>139</v>
      </c>
      <c r="E47" s="136" t="s">
        <v>86</v>
      </c>
      <c r="F47" s="451">
        <v>0</v>
      </c>
      <c r="G47" s="429">
        <v>2069</v>
      </c>
      <c r="H47" s="452">
        <v>2069</v>
      </c>
      <c r="I47" s="454">
        <f t="shared" si="7"/>
        <v>100</v>
      </c>
      <c r="K47" s="137"/>
      <c r="L47" s="137"/>
      <c r="M47" s="137"/>
      <c r="N47" s="285"/>
    </row>
    <row r="48" spans="1:14" s="35" customFormat="1" ht="15" x14ac:dyDescent="0.25">
      <c r="A48" s="82" t="s">
        <v>58</v>
      </c>
      <c r="B48" s="94"/>
      <c r="C48" s="72">
        <v>4112</v>
      </c>
      <c r="D48" s="39"/>
      <c r="E48" s="55" t="s">
        <v>306</v>
      </c>
      <c r="F48" s="604">
        <v>81145.399999999994</v>
      </c>
      <c r="G48" s="605">
        <v>81145.399999999994</v>
      </c>
      <c r="H48" s="604">
        <v>81145.399999999994</v>
      </c>
      <c r="I48" s="40">
        <f t="shared" si="7"/>
        <v>100</v>
      </c>
      <c r="K48" s="137"/>
      <c r="L48" s="137"/>
      <c r="M48" s="137"/>
      <c r="N48" s="285"/>
    </row>
    <row r="49" spans="1:14" s="35" customFormat="1" ht="15" hidden="1" x14ac:dyDescent="0.25">
      <c r="A49" s="82" t="s">
        <v>58</v>
      </c>
      <c r="B49" s="94"/>
      <c r="C49" s="72">
        <v>4113</v>
      </c>
      <c r="D49" s="39"/>
      <c r="E49" s="55" t="s">
        <v>307</v>
      </c>
      <c r="F49" s="155">
        <f>F50+F51</f>
        <v>0</v>
      </c>
      <c r="G49" s="155">
        <f t="shared" ref="G49:H49" si="8">G50+G51</f>
        <v>0</v>
      </c>
      <c r="H49" s="155">
        <f t="shared" si="8"/>
        <v>0</v>
      </c>
      <c r="I49" s="40" t="e">
        <f t="shared" si="7"/>
        <v>#DIV/0!</v>
      </c>
      <c r="K49" s="137"/>
      <c r="L49" s="137"/>
      <c r="M49" s="137"/>
      <c r="N49" s="285"/>
    </row>
    <row r="50" spans="1:14" s="35" customFormat="1" ht="12.75" hidden="1" x14ac:dyDescent="0.2">
      <c r="A50" s="82" t="s">
        <v>58</v>
      </c>
      <c r="B50" s="94"/>
      <c r="C50" s="72"/>
      <c r="D50" s="515" t="s">
        <v>220</v>
      </c>
      <c r="E50" s="236" t="s">
        <v>221</v>
      </c>
      <c r="F50" s="455"/>
      <c r="G50" s="456"/>
      <c r="H50" s="455"/>
      <c r="I50" s="457" t="e">
        <f t="shared" si="7"/>
        <v>#DIV/0!</v>
      </c>
      <c r="K50" s="137"/>
      <c r="L50" s="137"/>
      <c r="M50" s="137"/>
      <c r="N50" s="285"/>
    </row>
    <row r="51" spans="1:14" s="35" customFormat="1" ht="12.75" hidden="1" x14ac:dyDescent="0.2">
      <c r="A51" s="82" t="s">
        <v>58</v>
      </c>
      <c r="B51" s="94"/>
      <c r="C51" s="72"/>
      <c r="D51" s="515" t="s">
        <v>222</v>
      </c>
      <c r="E51" s="236" t="s">
        <v>223</v>
      </c>
      <c r="F51" s="455"/>
      <c r="G51" s="456"/>
      <c r="H51" s="455"/>
      <c r="I51" s="457" t="e">
        <f t="shared" si="7"/>
        <v>#DIV/0!</v>
      </c>
      <c r="K51" s="137"/>
      <c r="L51" s="137"/>
      <c r="M51" s="137"/>
      <c r="N51" s="285"/>
    </row>
    <row r="52" spans="1:14" s="35" customFormat="1" ht="15" x14ac:dyDescent="0.25">
      <c r="A52" s="82" t="s">
        <v>58</v>
      </c>
      <c r="B52" s="282"/>
      <c r="C52" s="72">
        <v>4116</v>
      </c>
      <c r="D52" s="39"/>
      <c r="E52" s="55" t="s">
        <v>182</v>
      </c>
      <c r="F52" s="163">
        <f>F53+F58+F60+F62+F63+F64+F66+F67+F68+F69+F70+F71+F76+F77+F55+F57+F73+F74+F72</f>
        <v>0</v>
      </c>
      <c r="G52" s="163">
        <f t="shared" ref="G52:H52" si="9">G53+G58+G60+G62+G63+G64+G66+G67+G68+G69+G70+G71+G76+G77+G55+G57+G73+G74+G72</f>
        <v>1106004</v>
      </c>
      <c r="H52" s="163">
        <f t="shared" si="9"/>
        <v>1105864</v>
      </c>
      <c r="I52" s="40">
        <f t="shared" si="7"/>
        <v>99.987341817931934</v>
      </c>
      <c r="L52" s="137"/>
      <c r="M52" s="137"/>
      <c r="N52" s="285"/>
    </row>
    <row r="53" spans="1:14" s="35" customFormat="1" ht="12.75" x14ac:dyDescent="0.2">
      <c r="A53" s="82"/>
      <c r="B53" s="282"/>
      <c r="C53" s="72"/>
      <c r="D53" s="515" t="s">
        <v>142</v>
      </c>
      <c r="E53" s="135" t="s">
        <v>225</v>
      </c>
      <c r="F53" s="455">
        <v>0</v>
      </c>
      <c r="G53" s="456">
        <v>446</v>
      </c>
      <c r="H53" s="459">
        <v>446</v>
      </c>
      <c r="I53" s="454">
        <f t="shared" si="7"/>
        <v>100</v>
      </c>
      <c r="K53" s="137"/>
      <c r="L53" s="137"/>
      <c r="M53" s="137"/>
      <c r="N53" s="285"/>
    </row>
    <row r="54" spans="1:14" s="35" customFormat="1" ht="12.75" hidden="1" x14ac:dyDescent="0.2">
      <c r="A54" s="82" t="s">
        <v>58</v>
      </c>
      <c r="B54" s="364"/>
      <c r="C54" s="72"/>
      <c r="D54" s="515" t="s">
        <v>224</v>
      </c>
      <c r="E54" s="135" t="s">
        <v>226</v>
      </c>
      <c r="F54" s="455">
        <v>0</v>
      </c>
      <c r="G54" s="456">
        <v>0</v>
      </c>
      <c r="H54" s="459">
        <v>0</v>
      </c>
      <c r="I54" s="454">
        <v>0</v>
      </c>
      <c r="K54" s="137"/>
      <c r="L54" s="137"/>
      <c r="M54" s="137"/>
      <c r="N54" s="285"/>
    </row>
    <row r="55" spans="1:14" s="35" customFormat="1" ht="12.75" x14ac:dyDescent="0.2">
      <c r="A55" s="664"/>
      <c r="B55" s="364"/>
      <c r="C55" s="72"/>
      <c r="D55" s="668" t="s">
        <v>200</v>
      </c>
      <c r="E55" s="667" t="s">
        <v>201</v>
      </c>
      <c r="F55" s="658">
        <v>0</v>
      </c>
      <c r="G55" s="659">
        <v>1215</v>
      </c>
      <c r="H55" s="660">
        <v>1215</v>
      </c>
      <c r="I55" s="656">
        <f t="shared" si="7"/>
        <v>100</v>
      </c>
      <c r="K55" s="137"/>
      <c r="L55" s="137"/>
      <c r="M55" s="137"/>
      <c r="N55" s="285"/>
    </row>
    <row r="56" spans="1:14" s="35" customFormat="1" ht="12.75" x14ac:dyDescent="0.2">
      <c r="A56" s="672"/>
      <c r="B56" s="364"/>
      <c r="C56" s="72"/>
      <c r="D56" s="671"/>
      <c r="E56" s="670"/>
      <c r="F56" s="651"/>
      <c r="G56" s="653"/>
      <c r="H56" s="653"/>
      <c r="I56" s="657"/>
      <c r="K56" s="137"/>
      <c r="L56" s="137"/>
      <c r="M56" s="137"/>
      <c r="N56" s="285"/>
    </row>
    <row r="57" spans="1:14" s="35" customFormat="1" ht="12.75" x14ac:dyDescent="0.2">
      <c r="A57" s="82"/>
      <c r="B57" s="364"/>
      <c r="C57" s="72"/>
      <c r="D57" s="515" t="s">
        <v>227</v>
      </c>
      <c r="E57" s="446" t="s">
        <v>228</v>
      </c>
      <c r="F57" s="451">
        <v>0</v>
      </c>
      <c r="G57" s="451">
        <v>630</v>
      </c>
      <c r="H57" s="451">
        <v>630</v>
      </c>
      <c r="I57" s="454">
        <f t="shared" ref="I57" si="10">(H57/G57)*100</f>
        <v>100</v>
      </c>
      <c r="K57" s="137"/>
      <c r="L57" s="137"/>
      <c r="M57" s="137"/>
      <c r="N57" s="285"/>
    </row>
    <row r="58" spans="1:14" s="35" customFormat="1" ht="12.75" x14ac:dyDescent="0.2">
      <c r="A58" s="664"/>
      <c r="B58" s="282"/>
      <c r="C58" s="72"/>
      <c r="D58" s="668" t="s">
        <v>143</v>
      </c>
      <c r="E58" s="667" t="s">
        <v>126</v>
      </c>
      <c r="F58" s="658">
        <v>0</v>
      </c>
      <c r="G58" s="659">
        <v>843264</v>
      </c>
      <c r="H58" s="660">
        <v>843264</v>
      </c>
      <c r="I58" s="656">
        <f t="shared" si="7"/>
        <v>100</v>
      </c>
      <c r="K58" s="137"/>
      <c r="L58" s="137"/>
      <c r="M58" s="137"/>
      <c r="N58" s="285"/>
    </row>
    <row r="59" spans="1:14" s="35" customFormat="1" ht="12.75" x14ac:dyDescent="0.2">
      <c r="A59" s="665"/>
      <c r="B59" s="282"/>
      <c r="C59" s="72"/>
      <c r="D59" s="668"/>
      <c r="E59" s="667"/>
      <c r="F59" s="651"/>
      <c r="G59" s="653"/>
      <c r="H59" s="653"/>
      <c r="I59" s="657"/>
      <c r="K59" s="137"/>
      <c r="L59" s="137"/>
      <c r="M59" s="137"/>
      <c r="N59" s="285"/>
    </row>
    <row r="60" spans="1:14" s="35" customFormat="1" ht="14.25" customHeight="1" x14ac:dyDescent="0.2">
      <c r="A60" s="664"/>
      <c r="B60" s="282"/>
      <c r="C60" s="72"/>
      <c r="D60" s="668" t="s">
        <v>144</v>
      </c>
      <c r="E60" s="667" t="s">
        <v>309</v>
      </c>
      <c r="F60" s="650">
        <v>0</v>
      </c>
      <c r="G60" s="652">
        <v>7800</v>
      </c>
      <c r="H60" s="654">
        <v>7800</v>
      </c>
      <c r="I60" s="656">
        <f t="shared" ref="I60:I64" si="11">(H60/G60)*100</f>
        <v>100</v>
      </c>
      <c r="K60" s="137"/>
      <c r="L60" s="137"/>
      <c r="M60" s="137"/>
      <c r="N60" s="285"/>
    </row>
    <row r="61" spans="1:14" s="35" customFormat="1" ht="15" customHeight="1" x14ac:dyDescent="0.2">
      <c r="A61" s="665"/>
      <c r="B61" s="282"/>
      <c r="C61" s="72"/>
      <c r="D61" s="668"/>
      <c r="E61" s="667"/>
      <c r="F61" s="651"/>
      <c r="G61" s="653"/>
      <c r="H61" s="655"/>
      <c r="I61" s="657"/>
      <c r="K61" s="352"/>
      <c r="L61" s="137"/>
      <c r="M61" s="137"/>
      <c r="N61" s="285"/>
    </row>
    <row r="62" spans="1:14" s="35" customFormat="1" ht="12.75" hidden="1" x14ac:dyDescent="0.2">
      <c r="A62" s="82" t="s">
        <v>58</v>
      </c>
      <c r="B62" s="282"/>
      <c r="C62" s="72"/>
      <c r="D62" s="516" t="s">
        <v>145</v>
      </c>
      <c r="E62" s="234" t="s">
        <v>51</v>
      </c>
      <c r="F62" s="452"/>
      <c r="G62" s="452"/>
      <c r="H62" s="460"/>
      <c r="I62" s="454" t="e">
        <f t="shared" si="11"/>
        <v>#DIV/0!</v>
      </c>
      <c r="K62" s="137"/>
      <c r="L62" s="137"/>
      <c r="M62" s="137"/>
      <c r="N62" s="285"/>
    </row>
    <row r="63" spans="1:14" s="35" customFormat="1" ht="25.5" x14ac:dyDescent="0.2">
      <c r="A63" s="82"/>
      <c r="B63" s="282"/>
      <c r="C63" s="72"/>
      <c r="D63" s="580" t="s">
        <v>320</v>
      </c>
      <c r="E63" s="234" t="s">
        <v>321</v>
      </c>
      <c r="F63" s="542">
        <v>0</v>
      </c>
      <c r="G63" s="461">
        <v>187</v>
      </c>
      <c r="H63" s="462">
        <v>187</v>
      </c>
      <c r="I63" s="458">
        <f t="shared" si="11"/>
        <v>100</v>
      </c>
      <c r="K63" s="137"/>
      <c r="L63" s="137"/>
      <c r="M63" s="137"/>
      <c r="N63" s="285"/>
    </row>
    <row r="64" spans="1:14" s="35" customFormat="1" ht="15" customHeight="1" x14ac:dyDescent="0.2">
      <c r="A64" s="664"/>
      <c r="B64" s="364"/>
      <c r="C64" s="72"/>
      <c r="D64" s="668" t="s">
        <v>146</v>
      </c>
      <c r="E64" s="667" t="s">
        <v>305</v>
      </c>
      <c r="F64" s="650">
        <v>0</v>
      </c>
      <c r="G64" s="652">
        <v>219966</v>
      </c>
      <c r="H64" s="654">
        <v>219966</v>
      </c>
      <c r="I64" s="656">
        <f t="shared" si="11"/>
        <v>100</v>
      </c>
      <c r="K64" s="185"/>
      <c r="L64" s="137"/>
      <c r="M64" s="137"/>
      <c r="N64" s="285"/>
    </row>
    <row r="65" spans="1:58" s="35" customFormat="1" ht="12.75" x14ac:dyDescent="0.2">
      <c r="A65" s="672"/>
      <c r="B65" s="364"/>
      <c r="C65" s="72"/>
      <c r="D65" s="669"/>
      <c r="E65" s="667"/>
      <c r="F65" s="651"/>
      <c r="G65" s="653"/>
      <c r="H65" s="655"/>
      <c r="I65" s="657"/>
      <c r="J65" s="369"/>
      <c r="K65" s="185"/>
      <c r="L65" s="185"/>
      <c r="M65" s="185"/>
      <c r="N65" s="285"/>
    </row>
    <row r="66" spans="1:58" s="36" customFormat="1" ht="25.5" x14ac:dyDescent="0.2">
      <c r="A66" s="93"/>
      <c r="B66" s="70"/>
      <c r="C66" s="145"/>
      <c r="D66" s="515" t="s">
        <v>322</v>
      </c>
      <c r="E66" s="541" t="s">
        <v>323</v>
      </c>
      <c r="F66" s="542">
        <v>0</v>
      </c>
      <c r="G66" s="537">
        <v>173</v>
      </c>
      <c r="H66" s="462">
        <v>173</v>
      </c>
      <c r="I66" s="458">
        <f t="shared" ref="I66:I68" si="12">(H66/G66)*100</f>
        <v>100</v>
      </c>
      <c r="J66" s="35"/>
      <c r="K66" s="184"/>
      <c r="L66" s="184"/>
      <c r="M66" s="184"/>
      <c r="N66" s="286"/>
    </row>
    <row r="67" spans="1:58" s="36" customFormat="1" ht="12.75" x14ac:dyDescent="0.2">
      <c r="A67" s="93"/>
      <c r="B67" s="70"/>
      <c r="C67" s="145"/>
      <c r="D67" s="515" t="s">
        <v>147</v>
      </c>
      <c r="E67" s="135" t="s">
        <v>183</v>
      </c>
      <c r="F67" s="546">
        <v>0</v>
      </c>
      <c r="G67" s="537">
        <v>140</v>
      </c>
      <c r="H67" s="462">
        <v>0</v>
      </c>
      <c r="I67" s="458">
        <f t="shared" si="12"/>
        <v>0</v>
      </c>
      <c r="J67" s="35"/>
      <c r="K67" s="184"/>
      <c r="L67" s="184"/>
      <c r="M67" s="184"/>
      <c r="N67" s="286"/>
    </row>
    <row r="68" spans="1:58" s="36" customFormat="1" ht="12.75" hidden="1" x14ac:dyDescent="0.2">
      <c r="A68" s="93"/>
      <c r="B68" s="70"/>
      <c r="C68" s="145"/>
      <c r="D68" s="517" t="s">
        <v>148</v>
      </c>
      <c r="E68" s="135" t="s">
        <v>184</v>
      </c>
      <c r="F68" s="463"/>
      <c r="G68" s="537"/>
      <c r="H68" s="462"/>
      <c r="I68" s="458" t="e">
        <f t="shared" si="12"/>
        <v>#DIV/0!</v>
      </c>
      <c r="J68" s="35"/>
      <c r="K68" s="184"/>
      <c r="L68" s="184"/>
      <c r="M68" s="184"/>
      <c r="N68" s="286"/>
    </row>
    <row r="69" spans="1:58" s="35" customFormat="1" ht="12.75" hidden="1" x14ac:dyDescent="0.2">
      <c r="A69" s="82"/>
      <c r="B69" s="282"/>
      <c r="C69" s="72"/>
      <c r="D69" s="517" t="s">
        <v>149</v>
      </c>
      <c r="E69" s="135" t="s">
        <v>87</v>
      </c>
      <c r="F69" s="452"/>
      <c r="G69" s="537"/>
      <c r="H69" s="462"/>
      <c r="I69" s="458" t="e">
        <f t="shared" ref="I69:I77" si="13">(H69/G69)*100</f>
        <v>#DIV/0!</v>
      </c>
      <c r="K69" s="137"/>
      <c r="L69" s="137"/>
      <c r="M69" s="137"/>
      <c r="N69" s="285"/>
    </row>
    <row r="70" spans="1:58" s="35" customFormat="1" ht="12.75" x14ac:dyDescent="0.2">
      <c r="A70" s="82"/>
      <c r="B70" s="282"/>
      <c r="C70" s="72"/>
      <c r="D70" s="515" t="s">
        <v>150</v>
      </c>
      <c r="E70" s="234" t="s">
        <v>185</v>
      </c>
      <c r="F70" s="452">
        <v>0</v>
      </c>
      <c r="G70" s="537">
        <v>30</v>
      </c>
      <c r="H70" s="462">
        <v>30</v>
      </c>
      <c r="I70" s="458">
        <f t="shared" si="13"/>
        <v>100</v>
      </c>
      <c r="K70" s="137"/>
      <c r="L70" s="137"/>
      <c r="M70" s="137"/>
      <c r="N70" s="285"/>
    </row>
    <row r="71" spans="1:58" s="35" customFormat="1" ht="25.5" x14ac:dyDescent="0.2">
      <c r="A71" s="82"/>
      <c r="B71" s="282"/>
      <c r="C71" s="72"/>
      <c r="D71" s="515" t="s">
        <v>151</v>
      </c>
      <c r="E71" s="234" t="s">
        <v>127</v>
      </c>
      <c r="F71" s="466">
        <v>0</v>
      </c>
      <c r="G71" s="461">
        <v>6339</v>
      </c>
      <c r="H71" s="462">
        <v>6339</v>
      </c>
      <c r="I71" s="458">
        <f t="shared" si="13"/>
        <v>100</v>
      </c>
      <c r="K71" s="137"/>
      <c r="L71" s="137"/>
      <c r="M71" s="137"/>
      <c r="N71" s="285"/>
    </row>
    <row r="72" spans="1:58" s="35" customFormat="1" ht="25.5" x14ac:dyDescent="0.2">
      <c r="A72" s="82"/>
      <c r="B72" s="544"/>
      <c r="C72" s="72"/>
      <c r="D72" s="515" t="s">
        <v>324</v>
      </c>
      <c r="E72" s="234" t="s">
        <v>325</v>
      </c>
      <c r="F72" s="548">
        <v>0</v>
      </c>
      <c r="G72" s="542">
        <v>24606</v>
      </c>
      <c r="H72" s="549">
        <v>24606</v>
      </c>
      <c r="I72" s="458">
        <f t="shared" si="13"/>
        <v>100</v>
      </c>
      <c r="K72" s="137"/>
      <c r="L72" s="137"/>
      <c r="M72" s="137"/>
      <c r="N72" s="285"/>
    </row>
    <row r="73" spans="1:58" s="469" customFormat="1" ht="25.5" hidden="1" x14ac:dyDescent="0.2">
      <c r="A73" s="82"/>
      <c r="B73" s="364"/>
      <c r="C73" s="72"/>
      <c r="D73" s="515" t="s">
        <v>229</v>
      </c>
      <c r="E73" s="317" t="s">
        <v>233</v>
      </c>
      <c r="F73" s="466"/>
      <c r="G73" s="461"/>
      <c r="H73" s="462"/>
      <c r="I73" s="458" t="e">
        <f t="shared" si="13"/>
        <v>#DIV/0!</v>
      </c>
      <c r="J73" s="369"/>
      <c r="K73" s="185"/>
      <c r="L73" s="185"/>
      <c r="M73" s="185"/>
      <c r="N73" s="470"/>
      <c r="O73" s="471"/>
      <c r="P73" s="471"/>
      <c r="Q73" s="471"/>
      <c r="R73" s="471"/>
      <c r="S73" s="471"/>
      <c r="T73" s="471"/>
      <c r="U73" s="471"/>
      <c r="V73" s="471"/>
      <c r="W73" s="471"/>
      <c r="X73" s="471"/>
      <c r="Y73" s="471"/>
      <c r="Z73" s="471"/>
      <c r="AA73" s="471"/>
      <c r="AB73" s="471"/>
      <c r="AC73" s="471"/>
      <c r="AD73" s="471"/>
      <c r="AE73" s="471"/>
      <c r="AF73" s="471"/>
      <c r="AG73" s="471"/>
      <c r="AH73" s="471"/>
      <c r="AI73" s="471"/>
      <c r="AJ73" s="471"/>
      <c r="AK73" s="471"/>
      <c r="AL73" s="471"/>
      <c r="AM73" s="471"/>
      <c r="AN73" s="471"/>
      <c r="AO73" s="471"/>
      <c r="AP73" s="471"/>
      <c r="AQ73" s="471"/>
      <c r="AR73" s="471"/>
      <c r="AS73" s="471"/>
      <c r="AT73" s="471"/>
      <c r="AU73" s="471"/>
      <c r="AV73" s="471"/>
      <c r="AW73" s="471"/>
      <c r="AX73" s="471"/>
      <c r="AY73" s="471"/>
      <c r="AZ73" s="471"/>
      <c r="BA73" s="471"/>
      <c r="BB73" s="471"/>
      <c r="BC73" s="471"/>
      <c r="BD73" s="471"/>
      <c r="BE73" s="471"/>
      <c r="BF73" s="471"/>
    </row>
    <row r="74" spans="1:58" s="35" customFormat="1" ht="25.5" hidden="1" x14ac:dyDescent="0.2">
      <c r="A74" s="444"/>
      <c r="B74" s="364"/>
      <c r="C74" s="42"/>
      <c r="D74" s="515" t="s">
        <v>230</v>
      </c>
      <c r="E74" s="445" t="s">
        <v>290</v>
      </c>
      <c r="F74" s="466"/>
      <c r="G74" s="461"/>
      <c r="H74" s="462"/>
      <c r="I74" s="531" t="e">
        <f t="shared" si="13"/>
        <v>#DIV/0!</v>
      </c>
      <c r="K74" s="137"/>
      <c r="L74" s="137"/>
      <c r="M74" s="137"/>
      <c r="N74" s="285"/>
    </row>
    <row r="75" spans="1:58" s="35" customFormat="1" ht="12.75" hidden="1" x14ac:dyDescent="0.2">
      <c r="A75" s="82"/>
      <c r="B75" s="364"/>
      <c r="C75" s="72"/>
      <c r="D75" s="517"/>
      <c r="E75" s="234"/>
      <c r="F75" s="466"/>
      <c r="G75" s="466"/>
      <c r="H75" s="467"/>
      <c r="I75" s="468" t="e">
        <f t="shared" si="13"/>
        <v>#DIV/0!</v>
      </c>
      <c r="K75" s="137"/>
      <c r="L75" s="137"/>
      <c r="M75" s="137"/>
      <c r="N75" s="285"/>
    </row>
    <row r="76" spans="1:58" s="35" customFormat="1" ht="12.75" x14ac:dyDescent="0.2">
      <c r="A76" s="82"/>
      <c r="B76" s="282"/>
      <c r="C76" s="72"/>
      <c r="D76" s="515" t="s">
        <v>231</v>
      </c>
      <c r="E76" s="234" t="s">
        <v>280</v>
      </c>
      <c r="F76" s="452">
        <v>0</v>
      </c>
      <c r="G76" s="452">
        <v>127</v>
      </c>
      <c r="H76" s="464">
        <v>127</v>
      </c>
      <c r="I76" s="454">
        <f t="shared" si="13"/>
        <v>100</v>
      </c>
      <c r="K76" s="137"/>
      <c r="L76" s="137"/>
      <c r="M76" s="137"/>
      <c r="N76" s="285"/>
    </row>
    <row r="77" spans="1:58" s="35" customFormat="1" ht="12.75" x14ac:dyDescent="0.2">
      <c r="A77" s="82"/>
      <c r="B77" s="282"/>
      <c r="C77" s="72"/>
      <c r="D77" s="515" t="s">
        <v>232</v>
      </c>
      <c r="E77" s="234" t="s">
        <v>280</v>
      </c>
      <c r="F77" s="452">
        <v>0</v>
      </c>
      <c r="G77" s="452">
        <v>1081</v>
      </c>
      <c r="H77" s="464">
        <v>1081</v>
      </c>
      <c r="I77" s="454">
        <f t="shared" si="13"/>
        <v>100</v>
      </c>
      <c r="K77" s="137"/>
      <c r="L77" s="137"/>
      <c r="M77" s="137"/>
      <c r="N77" s="285"/>
    </row>
    <row r="78" spans="1:58" ht="15" x14ac:dyDescent="0.25">
      <c r="A78" s="82" t="s">
        <v>58</v>
      </c>
      <c r="B78" s="300"/>
      <c r="C78" s="72">
        <v>4211</v>
      </c>
      <c r="D78" s="515"/>
      <c r="E78" s="51" t="s">
        <v>388</v>
      </c>
      <c r="F78" s="155">
        <f>F79</f>
        <v>0</v>
      </c>
      <c r="G78" s="155">
        <f>G79</f>
        <v>138</v>
      </c>
      <c r="H78" s="155">
        <f>H79</f>
        <v>138</v>
      </c>
      <c r="I78" s="16">
        <f t="shared" ref="I78:I87" si="14">(H78/G78)*100</f>
        <v>100</v>
      </c>
    </row>
    <row r="79" spans="1:58" ht="12.75" x14ac:dyDescent="0.2">
      <c r="A79" s="82"/>
      <c r="B79" s="300"/>
      <c r="C79" s="72"/>
      <c r="D79" s="515" t="s">
        <v>152</v>
      </c>
      <c r="E79" s="135" t="s">
        <v>89</v>
      </c>
      <c r="F79" s="455">
        <v>0</v>
      </c>
      <c r="G79" s="456">
        <v>138</v>
      </c>
      <c r="H79" s="490">
        <v>138</v>
      </c>
      <c r="I79" s="454">
        <f t="shared" si="14"/>
        <v>100</v>
      </c>
    </row>
    <row r="80" spans="1:58" ht="15" x14ac:dyDescent="0.25">
      <c r="A80" s="82" t="s">
        <v>58</v>
      </c>
      <c r="B80" s="300"/>
      <c r="C80" s="98">
        <v>4216</v>
      </c>
      <c r="D80" s="515"/>
      <c r="E80" s="52" t="s">
        <v>82</v>
      </c>
      <c r="F80" s="162">
        <f>F81+F82+F83+F84+F85+F86+F87</f>
        <v>50000</v>
      </c>
      <c r="G80" s="162">
        <f t="shared" ref="G80:H80" si="15">G81+G82+G83+G84+G85+G86+G87</f>
        <v>65684</v>
      </c>
      <c r="H80" s="162">
        <f t="shared" si="15"/>
        <v>15684</v>
      </c>
      <c r="I80" s="16">
        <f>(H80/G80)*100</f>
        <v>23.877961147311368</v>
      </c>
    </row>
    <row r="81" spans="1:16" ht="12.75" x14ac:dyDescent="0.2">
      <c r="A81" s="82"/>
      <c r="B81" s="300"/>
      <c r="C81" s="98"/>
      <c r="D81" s="515" t="s">
        <v>326</v>
      </c>
      <c r="E81" s="135"/>
      <c r="F81" s="459">
        <v>50000</v>
      </c>
      <c r="G81" s="473">
        <v>50000</v>
      </c>
      <c r="H81" s="474">
        <v>0</v>
      </c>
      <c r="I81" s="458">
        <f t="shared" si="14"/>
        <v>0</v>
      </c>
    </row>
    <row r="82" spans="1:16" ht="25.5" x14ac:dyDescent="0.2">
      <c r="A82" s="82"/>
      <c r="B82" s="300"/>
      <c r="C82" s="98"/>
      <c r="D82" s="515" t="s">
        <v>153</v>
      </c>
      <c r="E82" s="234" t="s">
        <v>327</v>
      </c>
      <c r="F82" s="547">
        <v>0</v>
      </c>
      <c r="G82" s="473">
        <v>4000</v>
      </c>
      <c r="H82" s="474">
        <v>4000</v>
      </c>
      <c r="I82" s="458">
        <f t="shared" si="14"/>
        <v>100</v>
      </c>
    </row>
    <row r="83" spans="1:16" ht="25.5" hidden="1" x14ac:dyDescent="0.2">
      <c r="A83" s="82" t="s">
        <v>58</v>
      </c>
      <c r="B83" s="300"/>
      <c r="C83" s="368"/>
      <c r="D83" s="518" t="s">
        <v>202</v>
      </c>
      <c r="E83" s="448" t="s">
        <v>234</v>
      </c>
      <c r="F83" s="472"/>
      <c r="G83" s="474"/>
      <c r="H83" s="474"/>
      <c r="I83" s="536" t="e">
        <f t="shared" si="14"/>
        <v>#DIV/0!</v>
      </c>
    </row>
    <row r="84" spans="1:16" ht="25.5" hidden="1" x14ac:dyDescent="0.2">
      <c r="A84" s="82" t="s">
        <v>58</v>
      </c>
      <c r="B84" s="300"/>
      <c r="C84" s="368"/>
      <c r="D84" s="518" t="s">
        <v>235</v>
      </c>
      <c r="E84" s="445" t="s">
        <v>236</v>
      </c>
      <c r="F84" s="472"/>
      <c r="G84" s="474"/>
      <c r="H84" s="474"/>
      <c r="I84" s="536" t="e">
        <f t="shared" si="14"/>
        <v>#DIV/0!</v>
      </c>
    </row>
    <row r="85" spans="1:16" ht="25.5" hidden="1" x14ac:dyDescent="0.2">
      <c r="A85" s="82" t="s">
        <v>58</v>
      </c>
      <c r="B85" s="300"/>
      <c r="C85" s="368"/>
      <c r="D85" s="518" t="s">
        <v>237</v>
      </c>
      <c r="E85" s="445" t="s">
        <v>238</v>
      </c>
      <c r="F85" s="472"/>
      <c r="G85" s="474"/>
      <c r="H85" s="474"/>
      <c r="I85" s="536" t="e">
        <f t="shared" si="14"/>
        <v>#DIV/0!</v>
      </c>
    </row>
    <row r="86" spans="1:16" s="35" customFormat="1" ht="15" customHeight="1" x14ac:dyDescent="0.2">
      <c r="A86" s="82"/>
      <c r="B86" s="364"/>
      <c r="C86" s="72"/>
      <c r="D86" s="515" t="s">
        <v>328</v>
      </c>
      <c r="E86" s="234" t="s">
        <v>329</v>
      </c>
      <c r="F86" s="542">
        <v>0</v>
      </c>
      <c r="G86" s="542">
        <v>649</v>
      </c>
      <c r="H86" s="474">
        <v>649</v>
      </c>
      <c r="I86" s="458">
        <f t="shared" si="14"/>
        <v>100</v>
      </c>
      <c r="K86" s="430">
        <f>K32+K28+K18+K8</f>
        <v>14172000</v>
      </c>
      <c r="L86" s="430">
        <f>L32+L28+L18+L8</f>
        <v>15560843.640000001</v>
      </c>
      <c r="M86" s="430">
        <f>M32+M28+M18+M8</f>
        <v>17808159.91</v>
      </c>
      <c r="N86" s="422"/>
    </row>
    <row r="87" spans="1:16" s="35" customFormat="1" ht="15" customHeight="1" x14ac:dyDescent="0.2">
      <c r="A87" s="82"/>
      <c r="B87" s="593"/>
      <c r="C87" s="72"/>
      <c r="D87" s="515" t="s">
        <v>330</v>
      </c>
      <c r="E87" s="317" t="s">
        <v>331</v>
      </c>
      <c r="F87" s="592">
        <v>0</v>
      </c>
      <c r="G87" s="592">
        <v>11035</v>
      </c>
      <c r="H87" s="474">
        <v>11035</v>
      </c>
      <c r="I87" s="458">
        <f t="shared" si="14"/>
        <v>100</v>
      </c>
      <c r="K87" s="137"/>
      <c r="L87" s="137"/>
      <c r="M87" s="137"/>
      <c r="N87" s="285"/>
    </row>
    <row r="88" spans="1:16" s="35" customFormat="1" ht="15" x14ac:dyDescent="0.25">
      <c r="A88" s="82" t="s">
        <v>58</v>
      </c>
      <c r="B88" s="94">
        <v>6172</v>
      </c>
      <c r="C88" s="72">
        <v>2122</v>
      </c>
      <c r="D88" s="517" t="s">
        <v>332</v>
      </c>
      <c r="E88" s="55" t="s">
        <v>272</v>
      </c>
      <c r="F88" s="155">
        <v>0</v>
      </c>
      <c r="G88" s="155">
        <v>34185</v>
      </c>
      <c r="H88" s="155">
        <v>34185</v>
      </c>
      <c r="I88" s="16">
        <f>(H88/G88)*100</f>
        <v>100</v>
      </c>
      <c r="K88" s="137"/>
      <c r="L88" s="137"/>
      <c r="M88" s="137"/>
      <c r="N88" s="285"/>
    </row>
    <row r="89" spans="1:16" s="35" customFormat="1" ht="15" x14ac:dyDescent="0.25">
      <c r="A89" s="82" t="s">
        <v>58</v>
      </c>
      <c r="B89" s="94">
        <v>6172</v>
      </c>
      <c r="C89" s="72">
        <v>2143</v>
      </c>
      <c r="D89" s="61"/>
      <c r="E89" s="113" t="s">
        <v>293</v>
      </c>
      <c r="F89" s="155">
        <v>0</v>
      </c>
      <c r="G89" s="155">
        <v>0</v>
      </c>
      <c r="H89" s="155">
        <v>1</v>
      </c>
      <c r="I89" s="16">
        <v>0</v>
      </c>
      <c r="M89" s="137"/>
      <c r="N89" s="285"/>
    </row>
    <row r="90" spans="1:16" s="35" customFormat="1" ht="15" x14ac:dyDescent="0.25">
      <c r="A90" s="82" t="s">
        <v>58</v>
      </c>
      <c r="B90" s="94">
        <v>6172</v>
      </c>
      <c r="C90" s="72">
        <v>2322</v>
      </c>
      <c r="D90" s="39"/>
      <c r="E90" s="55" t="s">
        <v>9</v>
      </c>
      <c r="F90" s="155">
        <v>0</v>
      </c>
      <c r="G90" s="156">
        <v>0</v>
      </c>
      <c r="H90" s="155">
        <v>52</v>
      </c>
      <c r="I90" s="16">
        <v>0</v>
      </c>
      <c r="M90" s="137"/>
      <c r="N90" s="285"/>
    </row>
    <row r="91" spans="1:16" s="35" customFormat="1" ht="15" x14ac:dyDescent="0.25">
      <c r="A91" s="82" t="s">
        <v>58</v>
      </c>
      <c r="B91" s="94">
        <v>6172</v>
      </c>
      <c r="C91" s="72">
        <v>2322</v>
      </c>
      <c r="D91" s="515" t="s">
        <v>239</v>
      </c>
      <c r="E91" s="54" t="s">
        <v>9</v>
      </c>
      <c r="F91" s="155">
        <v>0</v>
      </c>
      <c r="G91" s="157">
        <v>476</v>
      </c>
      <c r="H91" s="155">
        <v>621</v>
      </c>
      <c r="I91" s="16">
        <f>(H91/G91)*100</f>
        <v>130.46218487394958</v>
      </c>
      <c r="K91" s="137"/>
      <c r="L91" s="137"/>
      <c r="M91" s="137"/>
      <c r="N91" s="285"/>
    </row>
    <row r="92" spans="1:16" s="35" customFormat="1" ht="15" x14ac:dyDescent="0.25">
      <c r="A92" s="82" t="s">
        <v>58</v>
      </c>
      <c r="B92" s="94">
        <v>6172</v>
      </c>
      <c r="C92" s="72">
        <v>2322</v>
      </c>
      <c r="D92" s="515" t="s">
        <v>241</v>
      </c>
      <c r="E92" s="54" t="s">
        <v>9</v>
      </c>
      <c r="F92" s="155">
        <v>0</v>
      </c>
      <c r="G92" s="157">
        <v>1651</v>
      </c>
      <c r="H92" s="155">
        <v>1768</v>
      </c>
      <c r="I92" s="16">
        <f>(H92/G92)*100</f>
        <v>107.08661417322836</v>
      </c>
      <c r="K92" s="137"/>
      <c r="L92" s="137"/>
      <c r="M92" s="137"/>
      <c r="N92" s="285"/>
    </row>
    <row r="93" spans="1:16" s="35" customFormat="1" ht="15" x14ac:dyDescent="0.25">
      <c r="A93" s="82" t="s">
        <v>58</v>
      </c>
      <c r="B93" s="94">
        <v>6172</v>
      </c>
      <c r="C93" s="72">
        <v>2324</v>
      </c>
      <c r="D93" s="39"/>
      <c r="E93" s="55" t="s">
        <v>18</v>
      </c>
      <c r="F93" s="155">
        <v>0</v>
      </c>
      <c r="G93" s="157">
        <v>0</v>
      </c>
      <c r="H93" s="155">
        <v>265</v>
      </c>
      <c r="I93" s="16">
        <v>0</v>
      </c>
      <c r="K93" s="137"/>
      <c r="L93" s="137"/>
      <c r="M93" s="302">
        <v>18631171131.990002</v>
      </c>
      <c r="N93" s="303" t="s">
        <v>132</v>
      </c>
      <c r="O93" s="302">
        <v>14518350175.27</v>
      </c>
      <c r="P93" s="305" t="s">
        <v>243</v>
      </c>
    </row>
    <row r="94" spans="1:16" s="35" customFormat="1" ht="15" x14ac:dyDescent="0.25">
      <c r="A94" s="82" t="s">
        <v>58</v>
      </c>
      <c r="B94" s="94">
        <v>6310</v>
      </c>
      <c r="C94" s="72">
        <v>2141</v>
      </c>
      <c r="D94" s="39"/>
      <c r="E94" s="53" t="s">
        <v>8</v>
      </c>
      <c r="F94" s="604">
        <v>1000.4</v>
      </c>
      <c r="G94" s="606">
        <v>1000.4</v>
      </c>
      <c r="H94" s="155">
        <v>167</v>
      </c>
      <c r="I94" s="16">
        <f>(H94/G94)*100</f>
        <v>16.693322670931629</v>
      </c>
      <c r="K94" s="137"/>
      <c r="L94" s="137"/>
      <c r="M94" s="302">
        <v>12873150775.190001</v>
      </c>
      <c r="N94" s="303" t="s">
        <v>244</v>
      </c>
      <c r="O94" s="302">
        <v>13101280835.73</v>
      </c>
      <c r="P94" s="305" t="s">
        <v>242</v>
      </c>
    </row>
    <row r="95" spans="1:16" s="35" customFormat="1" ht="15" x14ac:dyDescent="0.25">
      <c r="A95" s="82" t="s">
        <v>58</v>
      </c>
      <c r="B95" s="94">
        <v>6330</v>
      </c>
      <c r="C95" s="367">
        <v>4132</v>
      </c>
      <c r="D95" s="39"/>
      <c r="E95" s="58" t="s">
        <v>25</v>
      </c>
      <c r="F95" s="155">
        <v>0</v>
      </c>
      <c r="G95" s="157">
        <v>856</v>
      </c>
      <c r="H95" s="155">
        <v>856</v>
      </c>
      <c r="I95" s="16">
        <f>(H95/G95)*100</f>
        <v>100</v>
      </c>
      <c r="K95" s="137"/>
      <c r="L95" s="137"/>
      <c r="M95" s="302">
        <f>M93-M94</f>
        <v>5758020356.8000011</v>
      </c>
      <c r="N95" s="303"/>
      <c r="O95" s="302">
        <f>O93-O94</f>
        <v>1417069339.5400009</v>
      </c>
      <c r="P95" s="304"/>
    </row>
    <row r="96" spans="1:16" s="35" customFormat="1" ht="15" x14ac:dyDescent="0.25">
      <c r="A96" s="82" t="s">
        <v>58</v>
      </c>
      <c r="B96" s="94">
        <v>6330</v>
      </c>
      <c r="C96" s="367">
        <v>4134</v>
      </c>
      <c r="D96" s="39"/>
      <c r="E96" s="58" t="s">
        <v>16</v>
      </c>
      <c r="F96" s="155">
        <v>0</v>
      </c>
      <c r="G96" s="157">
        <v>0</v>
      </c>
      <c r="H96" s="155">
        <v>12873151</v>
      </c>
      <c r="I96" s="16">
        <v>0</v>
      </c>
      <c r="K96" s="137"/>
      <c r="L96" s="137"/>
      <c r="M96" s="302">
        <f>O95</f>
        <v>1417069339.5400009</v>
      </c>
      <c r="N96" s="303"/>
      <c r="O96" s="302"/>
      <c r="P96" s="304"/>
    </row>
    <row r="97" spans="1:16" s="35" customFormat="1" ht="15" x14ac:dyDescent="0.25">
      <c r="A97" s="82" t="s">
        <v>58</v>
      </c>
      <c r="B97" s="94">
        <v>6409</v>
      </c>
      <c r="C97" s="72">
        <v>2328</v>
      </c>
      <c r="D97" s="39"/>
      <c r="E97" s="55" t="s">
        <v>11</v>
      </c>
      <c r="F97" s="155">
        <v>0</v>
      </c>
      <c r="G97" s="157">
        <v>0</v>
      </c>
      <c r="H97" s="155">
        <v>12</v>
      </c>
      <c r="I97" s="16">
        <v>0</v>
      </c>
      <c r="K97" s="137"/>
      <c r="L97" s="137"/>
      <c r="M97" s="302"/>
      <c r="N97" s="305"/>
      <c r="O97" s="304"/>
      <c r="P97" s="304"/>
    </row>
    <row r="98" spans="1:16" s="104" customFormat="1" ht="15" customHeight="1" thickBot="1" x14ac:dyDescent="0.25">
      <c r="A98" s="597" t="s">
        <v>58</v>
      </c>
      <c r="B98" s="598"/>
      <c r="C98" s="599"/>
      <c r="D98" s="600"/>
      <c r="E98" s="601" t="s">
        <v>81</v>
      </c>
      <c r="F98" s="607">
        <f>F33+F34+F35+F36+F38+F48+F88+F94+F37+F39+F49+F52+F80+F89+F91+F92+F93+F95+F96+F97+F90+F78</f>
        <v>4232145.8</v>
      </c>
      <c r="G98" s="607">
        <f t="shared" ref="G98:H98" si="16">G33+G34+G35+G36+G38+G48+G88+G94+G37+G39+G49+G52+G80+G89+G91+G92+G93+G95+G96+G97+G90+G78</f>
        <v>5443263.8000000007</v>
      </c>
      <c r="H98" s="602">
        <f t="shared" si="16"/>
        <v>18631171.399999999</v>
      </c>
      <c r="I98" s="603">
        <f>(H98/G98)*100</f>
        <v>342.2794133181639</v>
      </c>
      <c r="J98" s="346"/>
      <c r="K98" s="263">
        <v>4232145800</v>
      </c>
      <c r="L98" s="263">
        <v>5443263848.3100004</v>
      </c>
      <c r="M98" s="263">
        <v>18631171131.990002</v>
      </c>
      <c r="N98" s="307"/>
    </row>
    <row r="99" spans="1:16" s="429" customFormat="1" ht="15" thickTop="1" x14ac:dyDescent="0.2">
      <c r="A99" s="423"/>
      <c r="B99" s="424"/>
      <c r="C99" s="425"/>
      <c r="D99" s="426"/>
      <c r="E99" s="427"/>
      <c r="F99" s="644">
        <f>SUM(F98,F28,F18,F8)</f>
        <v>4246317.8</v>
      </c>
      <c r="G99" s="644">
        <f t="shared" ref="G99:H99" si="17">SUM(G98,G28,G18,G8)</f>
        <v>5458824.8000000007</v>
      </c>
      <c r="H99" s="644">
        <f t="shared" si="17"/>
        <v>18648979.399999999</v>
      </c>
      <c r="I99" s="428"/>
      <c r="K99" s="430"/>
      <c r="L99" s="430"/>
      <c r="M99" s="430"/>
      <c r="N99" s="422"/>
    </row>
    <row r="100" spans="1:16" ht="13.5" customHeight="1" thickBot="1" x14ac:dyDescent="0.25">
      <c r="A100" s="85"/>
      <c r="F100" s="645"/>
      <c r="G100" s="646"/>
      <c r="H100" s="645"/>
      <c r="I100" s="647" t="s">
        <v>0</v>
      </c>
    </row>
    <row r="101" spans="1:16" s="35" customFormat="1" ht="24.95" customHeight="1" thickTop="1" thickBot="1" x14ac:dyDescent="0.25">
      <c r="A101" s="504" t="s">
        <v>53</v>
      </c>
      <c r="B101" s="66" t="s">
        <v>10</v>
      </c>
      <c r="C101" s="31" t="s">
        <v>2</v>
      </c>
      <c r="D101" s="344" t="s">
        <v>310</v>
      </c>
      <c r="E101" s="32" t="s">
        <v>3</v>
      </c>
      <c r="F101" s="511" t="s">
        <v>291</v>
      </c>
      <c r="G101" s="511" t="s">
        <v>292</v>
      </c>
      <c r="H101" s="33" t="s">
        <v>14</v>
      </c>
      <c r="I101" s="34" t="s">
        <v>15</v>
      </c>
      <c r="K101" s="137"/>
      <c r="L101" s="137"/>
      <c r="M101" s="137"/>
      <c r="N101" s="285"/>
    </row>
    <row r="102" spans="1:16" s="36" customFormat="1" ht="12.75" thickTop="1" x14ac:dyDescent="0.2">
      <c r="A102" s="80">
        <v>1</v>
      </c>
      <c r="B102" s="75">
        <v>2</v>
      </c>
      <c r="C102" s="76">
        <v>3</v>
      </c>
      <c r="D102" s="75">
        <v>4</v>
      </c>
      <c r="E102" s="76">
        <v>5</v>
      </c>
      <c r="F102" s="75">
        <v>6</v>
      </c>
      <c r="G102" s="77">
        <v>7</v>
      </c>
      <c r="H102" s="78">
        <v>8</v>
      </c>
      <c r="I102" s="79" t="s">
        <v>54</v>
      </c>
      <c r="J102" s="35"/>
      <c r="K102" s="184"/>
      <c r="L102" s="184"/>
      <c r="M102" s="184"/>
      <c r="N102" s="286"/>
    </row>
    <row r="103" spans="1:16" s="140" customFormat="1" ht="30" x14ac:dyDescent="0.2">
      <c r="A103" s="564" t="s">
        <v>59</v>
      </c>
      <c r="B103" s="476"/>
      <c r="C103" s="521">
        <v>2420</v>
      </c>
      <c r="D103" s="520"/>
      <c r="E103" s="477" t="s">
        <v>246</v>
      </c>
      <c r="F103" s="522">
        <f>F104+F105+F106</f>
        <v>5900</v>
      </c>
      <c r="G103" s="522">
        <f t="shared" ref="G103:H103" si="18">G104+G105+G106</f>
        <v>5900</v>
      </c>
      <c r="H103" s="522">
        <f t="shared" si="18"/>
        <v>1200</v>
      </c>
      <c r="I103" s="523">
        <f t="shared" ref="I103:I105" si="19">(H103/G103)*100</f>
        <v>20.33898305084746</v>
      </c>
      <c r="K103" s="192"/>
      <c r="L103" s="192"/>
      <c r="M103" s="192"/>
      <c r="N103" s="308"/>
    </row>
    <row r="104" spans="1:16" s="140" customFormat="1" ht="15" x14ac:dyDescent="0.2">
      <c r="A104" s="564"/>
      <c r="B104" s="476"/>
      <c r="C104" s="521"/>
      <c r="D104" s="515" t="s">
        <v>326</v>
      </c>
      <c r="E104" s="477"/>
      <c r="F104" s="552"/>
      <c r="G104" s="486"/>
      <c r="H104" s="552">
        <v>500</v>
      </c>
      <c r="I104" s="565">
        <v>0</v>
      </c>
      <c r="K104" s="192"/>
      <c r="L104" s="192"/>
      <c r="M104" s="192"/>
      <c r="N104" s="308"/>
    </row>
    <row r="105" spans="1:16" s="140" customFormat="1" x14ac:dyDescent="0.2">
      <c r="A105" s="564"/>
      <c r="B105" s="476"/>
      <c r="C105" s="521"/>
      <c r="D105" s="515" t="s">
        <v>267</v>
      </c>
      <c r="E105" s="560" t="s">
        <v>333</v>
      </c>
      <c r="F105" s="552">
        <v>700</v>
      </c>
      <c r="G105" s="486">
        <v>700</v>
      </c>
      <c r="H105" s="552">
        <v>700</v>
      </c>
      <c r="I105" s="565">
        <f t="shared" si="19"/>
        <v>100</v>
      </c>
      <c r="K105" s="192"/>
      <c r="L105" s="192"/>
      <c r="M105" s="192"/>
      <c r="N105" s="308"/>
    </row>
    <row r="106" spans="1:16" s="140" customFormat="1" ht="25.5" x14ac:dyDescent="0.2">
      <c r="A106" s="564"/>
      <c r="B106" s="476"/>
      <c r="C106" s="521"/>
      <c r="D106" s="515" t="s">
        <v>245</v>
      </c>
      <c r="E106" s="566" t="s">
        <v>334</v>
      </c>
      <c r="F106" s="552">
        <v>5200</v>
      </c>
      <c r="G106" s="486">
        <v>5200</v>
      </c>
      <c r="H106" s="552">
        <v>0</v>
      </c>
      <c r="I106" s="565">
        <f>(H106/G106)*100</f>
        <v>0</v>
      </c>
      <c r="K106" s="192"/>
      <c r="L106" s="192"/>
      <c r="M106" s="192"/>
      <c r="N106" s="308"/>
    </row>
    <row r="107" spans="1:16" s="140" customFormat="1" ht="15" x14ac:dyDescent="0.25">
      <c r="A107" s="475" t="s">
        <v>59</v>
      </c>
      <c r="B107" s="476">
        <v>6172</v>
      </c>
      <c r="C107" s="74">
        <v>2212</v>
      </c>
      <c r="D107" s="131"/>
      <c r="E107" s="477" t="s">
        <v>85</v>
      </c>
      <c r="F107" s="478"/>
      <c r="G107" s="479"/>
      <c r="H107" s="478">
        <v>39</v>
      </c>
      <c r="I107" s="16">
        <v>0</v>
      </c>
      <c r="K107" s="192"/>
      <c r="L107" s="192"/>
      <c r="M107" s="192"/>
      <c r="N107" s="308"/>
    </row>
    <row r="108" spans="1:16" s="140" customFormat="1" ht="15" x14ac:dyDescent="0.25">
      <c r="A108" s="475" t="s">
        <v>59</v>
      </c>
      <c r="B108" s="476">
        <v>6172</v>
      </c>
      <c r="C108" s="74">
        <v>2324</v>
      </c>
      <c r="D108" s="131"/>
      <c r="E108" s="477" t="s">
        <v>18</v>
      </c>
      <c r="F108" s="478"/>
      <c r="G108" s="479"/>
      <c r="H108" s="478">
        <v>26</v>
      </c>
      <c r="I108" s="16">
        <v>0</v>
      </c>
      <c r="K108" s="192"/>
      <c r="L108" s="192"/>
      <c r="M108" s="192"/>
      <c r="N108" s="308"/>
    </row>
    <row r="109" spans="1:16" s="35" customFormat="1" ht="15" hidden="1" x14ac:dyDescent="0.25">
      <c r="A109" s="81" t="s">
        <v>59</v>
      </c>
      <c r="B109" s="94">
        <v>6402</v>
      </c>
      <c r="C109" s="72">
        <v>2223</v>
      </c>
      <c r="D109" s="39" t="s">
        <v>217</v>
      </c>
      <c r="E109" s="54" t="s">
        <v>288</v>
      </c>
      <c r="F109" s="155"/>
      <c r="G109" s="157"/>
      <c r="H109" s="155"/>
      <c r="I109" s="16" t="e">
        <f t="shared" ref="I109:I115" si="20">(H109/G109)*100</f>
        <v>#DIV/0!</v>
      </c>
      <c r="K109" s="185"/>
      <c r="L109" s="185"/>
      <c r="M109" s="185"/>
      <c r="N109" s="285"/>
    </row>
    <row r="110" spans="1:16" s="35" customFormat="1" ht="15" x14ac:dyDescent="0.25">
      <c r="A110" s="81" t="s">
        <v>59</v>
      </c>
      <c r="B110" s="94">
        <v>6402</v>
      </c>
      <c r="C110" s="72">
        <v>2229</v>
      </c>
      <c r="D110" s="39" t="s">
        <v>217</v>
      </c>
      <c r="E110" s="52" t="s">
        <v>29</v>
      </c>
      <c r="F110" s="155"/>
      <c r="G110" s="157">
        <v>3</v>
      </c>
      <c r="H110" s="155">
        <v>3</v>
      </c>
      <c r="I110" s="16">
        <f t="shared" si="20"/>
        <v>100</v>
      </c>
      <c r="K110" s="137"/>
      <c r="L110" s="137"/>
      <c r="M110" s="137"/>
      <c r="N110" s="285"/>
    </row>
    <row r="111" spans="1:16" s="35" customFormat="1" ht="15" x14ac:dyDescent="0.25">
      <c r="A111" s="81" t="s">
        <v>59</v>
      </c>
      <c r="B111" s="94">
        <v>6409</v>
      </c>
      <c r="C111" s="72">
        <v>2229</v>
      </c>
      <c r="D111" s="39"/>
      <c r="E111" s="52" t="s">
        <v>29</v>
      </c>
      <c r="F111" s="155"/>
      <c r="G111" s="157">
        <v>120</v>
      </c>
      <c r="H111" s="155">
        <v>120</v>
      </c>
      <c r="I111" s="16">
        <f t="shared" si="20"/>
        <v>100</v>
      </c>
      <c r="K111" s="137"/>
      <c r="L111" s="137"/>
      <c r="M111" s="137"/>
      <c r="N111" s="285"/>
    </row>
    <row r="112" spans="1:16" s="104" customFormat="1" ht="15" customHeight="1" x14ac:dyDescent="0.2">
      <c r="A112" s="309" t="s">
        <v>59</v>
      </c>
      <c r="B112" s="106"/>
      <c r="C112" s="107"/>
      <c r="D112" s="108"/>
      <c r="E112" s="102" t="s">
        <v>81</v>
      </c>
      <c r="F112" s="306">
        <f>F103+F107+F109+F110+F111+F108</f>
        <v>5900</v>
      </c>
      <c r="G112" s="306">
        <f t="shared" ref="G112:H112" si="21">G103+G107+G109+G110+G111+G108</f>
        <v>6023</v>
      </c>
      <c r="H112" s="306">
        <f t="shared" si="21"/>
        <v>1388</v>
      </c>
      <c r="I112" s="186">
        <f t="shared" si="20"/>
        <v>23.04499418894239</v>
      </c>
      <c r="K112" s="370">
        <v>5900000</v>
      </c>
      <c r="L112" s="370">
        <v>6022618</v>
      </c>
      <c r="M112" s="263">
        <v>1388574</v>
      </c>
      <c r="N112" s="307"/>
    </row>
    <row r="113" spans="1:14" s="35" customFormat="1" ht="15" x14ac:dyDescent="0.25">
      <c r="A113" s="81" t="s">
        <v>60</v>
      </c>
      <c r="B113" s="94"/>
      <c r="C113" s="557">
        <v>1332</v>
      </c>
      <c r="D113" s="515" t="s">
        <v>335</v>
      </c>
      <c r="E113" s="54" t="s">
        <v>384</v>
      </c>
      <c r="F113" s="155"/>
      <c r="G113" s="156">
        <v>2000</v>
      </c>
      <c r="H113" s="155">
        <v>2148</v>
      </c>
      <c r="I113" s="16">
        <f t="shared" si="20"/>
        <v>107.4</v>
      </c>
      <c r="K113" s="137"/>
      <c r="L113" s="137"/>
      <c r="M113" s="137"/>
      <c r="N113" s="285"/>
    </row>
    <row r="114" spans="1:14" s="35" customFormat="1" ht="15" x14ac:dyDescent="0.25">
      <c r="A114" s="82" t="s">
        <v>60</v>
      </c>
      <c r="B114" s="45"/>
      <c r="C114" s="72">
        <v>1361</v>
      </c>
      <c r="D114" s="39"/>
      <c r="E114" s="55" t="s">
        <v>1</v>
      </c>
      <c r="F114" s="155">
        <v>600</v>
      </c>
      <c r="G114" s="156">
        <v>600</v>
      </c>
      <c r="H114" s="155">
        <v>443</v>
      </c>
      <c r="I114" s="16">
        <f t="shared" si="20"/>
        <v>73.833333333333329</v>
      </c>
      <c r="K114" s="137"/>
      <c r="L114" s="137"/>
      <c r="M114" s="137"/>
      <c r="N114" s="285"/>
    </row>
    <row r="115" spans="1:14" s="35" customFormat="1" ht="15" x14ac:dyDescent="0.25">
      <c r="A115" s="81" t="s">
        <v>60</v>
      </c>
      <c r="B115" s="94">
        <v>1032</v>
      </c>
      <c r="C115" s="72">
        <v>2131</v>
      </c>
      <c r="D115" s="39"/>
      <c r="E115" s="55" t="s">
        <v>17</v>
      </c>
      <c r="F115" s="155">
        <v>25</v>
      </c>
      <c r="G115" s="157">
        <v>25</v>
      </c>
      <c r="H115" s="155">
        <v>25</v>
      </c>
      <c r="I115" s="16">
        <f t="shared" si="20"/>
        <v>100</v>
      </c>
      <c r="K115" s="137"/>
      <c r="L115" s="137"/>
      <c r="M115" s="137"/>
      <c r="N115" s="285"/>
    </row>
    <row r="116" spans="1:14" s="35" customFormat="1" ht="15" x14ac:dyDescent="0.25">
      <c r="A116" s="81" t="s">
        <v>60</v>
      </c>
      <c r="B116" s="94">
        <v>1032</v>
      </c>
      <c r="C116" s="72">
        <v>2324</v>
      </c>
      <c r="D116" s="39"/>
      <c r="E116" s="55" t="s">
        <v>18</v>
      </c>
      <c r="F116" s="155"/>
      <c r="G116" s="157"/>
      <c r="H116" s="155">
        <v>30</v>
      </c>
      <c r="I116" s="16">
        <v>0</v>
      </c>
      <c r="K116" s="137"/>
      <c r="L116" s="137"/>
      <c r="M116" s="137"/>
      <c r="N116" s="285"/>
    </row>
    <row r="117" spans="1:14" s="35" customFormat="1" ht="15" x14ac:dyDescent="0.25">
      <c r="A117" s="81" t="s">
        <v>60</v>
      </c>
      <c r="B117" s="94">
        <v>3719</v>
      </c>
      <c r="C117" s="72">
        <v>2329</v>
      </c>
      <c r="D117" s="39"/>
      <c r="E117" s="55" t="s">
        <v>336</v>
      </c>
      <c r="F117" s="155">
        <v>2000</v>
      </c>
      <c r="G117" s="157"/>
      <c r="H117" s="155"/>
      <c r="I117" s="16">
        <v>0</v>
      </c>
      <c r="K117" s="137"/>
      <c r="L117" s="137"/>
      <c r="M117" s="137"/>
      <c r="N117" s="285"/>
    </row>
    <row r="118" spans="1:14" s="35" customFormat="1" ht="15" x14ac:dyDescent="0.25">
      <c r="A118" s="81" t="s">
        <v>60</v>
      </c>
      <c r="B118" s="94">
        <v>6172</v>
      </c>
      <c r="C118" s="72">
        <v>2211</v>
      </c>
      <c r="D118" s="39"/>
      <c r="E118" s="55" t="s">
        <v>84</v>
      </c>
      <c r="F118" s="155"/>
      <c r="G118" s="157"/>
      <c r="H118" s="155">
        <v>1</v>
      </c>
      <c r="I118" s="16">
        <v>0</v>
      </c>
      <c r="K118" s="137"/>
      <c r="L118" s="137"/>
      <c r="M118" s="137"/>
      <c r="N118" s="285"/>
    </row>
    <row r="119" spans="1:14" s="35" customFormat="1" ht="15" x14ac:dyDescent="0.25">
      <c r="A119" s="81" t="s">
        <v>60</v>
      </c>
      <c r="B119" s="94">
        <v>6172</v>
      </c>
      <c r="C119" s="72">
        <v>2212</v>
      </c>
      <c r="D119" s="39"/>
      <c r="E119" s="52" t="s">
        <v>85</v>
      </c>
      <c r="F119" s="155">
        <v>200</v>
      </c>
      <c r="G119" s="156">
        <v>200</v>
      </c>
      <c r="H119" s="155">
        <v>605</v>
      </c>
      <c r="I119" s="16">
        <f t="shared" ref="I119:I121" si="22">(H119/G119)*100</f>
        <v>302.5</v>
      </c>
      <c r="K119" s="137"/>
      <c r="L119" s="137"/>
      <c r="M119" s="137"/>
      <c r="N119" s="285"/>
    </row>
    <row r="120" spans="1:14" s="35" customFormat="1" ht="15" x14ac:dyDescent="0.25">
      <c r="A120" s="81" t="s">
        <v>60</v>
      </c>
      <c r="B120" s="94">
        <v>6172</v>
      </c>
      <c r="C120" s="72">
        <v>2324</v>
      </c>
      <c r="D120" s="39"/>
      <c r="E120" s="52" t="s">
        <v>18</v>
      </c>
      <c r="F120" s="155"/>
      <c r="G120" s="156"/>
      <c r="H120" s="155">
        <v>4</v>
      </c>
      <c r="I120" s="16">
        <v>0</v>
      </c>
      <c r="K120" s="137"/>
      <c r="L120" s="137"/>
      <c r="M120" s="137"/>
      <c r="N120" s="285"/>
    </row>
    <row r="121" spans="1:14" s="35" customFormat="1" ht="15" x14ac:dyDescent="0.25">
      <c r="A121" s="81" t="s">
        <v>60</v>
      </c>
      <c r="B121" s="94">
        <v>6402</v>
      </c>
      <c r="C121" s="42">
        <v>2229</v>
      </c>
      <c r="D121" s="519" t="s">
        <v>217</v>
      </c>
      <c r="E121" s="54" t="s">
        <v>29</v>
      </c>
      <c r="F121" s="155"/>
      <c r="G121" s="156">
        <v>97</v>
      </c>
      <c r="H121" s="155">
        <v>97</v>
      </c>
      <c r="I121" s="16">
        <f t="shared" si="22"/>
        <v>100</v>
      </c>
      <c r="K121" s="137"/>
      <c r="L121" s="137"/>
      <c r="M121" s="137"/>
      <c r="N121" s="285"/>
    </row>
    <row r="122" spans="1:14" s="35" customFormat="1" ht="15" x14ac:dyDescent="0.25">
      <c r="A122" s="81" t="s">
        <v>60</v>
      </c>
      <c r="B122" s="94">
        <v>6409</v>
      </c>
      <c r="C122" s="42">
        <v>2229</v>
      </c>
      <c r="D122" s="519" t="s">
        <v>217</v>
      </c>
      <c r="E122" s="54" t="s">
        <v>29</v>
      </c>
      <c r="F122" s="155"/>
      <c r="G122" s="156"/>
      <c r="H122" s="155">
        <v>181</v>
      </c>
      <c r="I122" s="16">
        <v>0</v>
      </c>
      <c r="K122" s="137"/>
      <c r="L122" s="137"/>
      <c r="M122" s="137"/>
      <c r="N122" s="285"/>
    </row>
    <row r="123" spans="1:14" s="35" customFormat="1" ht="15" hidden="1" x14ac:dyDescent="0.25">
      <c r="A123" s="81" t="s">
        <v>60</v>
      </c>
      <c r="B123" s="94">
        <v>6409</v>
      </c>
      <c r="C123" s="42">
        <v>2328</v>
      </c>
      <c r="D123" s="43"/>
      <c r="E123" s="55" t="s">
        <v>11</v>
      </c>
      <c r="F123" s="155">
        <v>0</v>
      </c>
      <c r="G123" s="156">
        <v>0</v>
      </c>
      <c r="H123" s="155">
        <v>0</v>
      </c>
      <c r="I123" s="16">
        <v>0</v>
      </c>
      <c r="K123" s="137"/>
      <c r="L123" s="137"/>
      <c r="M123" s="137"/>
      <c r="N123" s="285"/>
    </row>
    <row r="124" spans="1:14" s="104" customFormat="1" ht="15" customHeight="1" x14ac:dyDescent="0.2">
      <c r="A124" s="309" t="s">
        <v>60</v>
      </c>
      <c r="B124" s="106"/>
      <c r="C124" s="109"/>
      <c r="D124" s="237"/>
      <c r="E124" s="102" t="s">
        <v>81</v>
      </c>
      <c r="F124" s="306">
        <f>F114+F115+F119+F116+F121+F122+F113+F117+F118+F120</f>
        <v>2825</v>
      </c>
      <c r="G124" s="306">
        <f t="shared" ref="G124:H124" si="23">G114+G115+G119+G116+G121+G122+G113+G117+G118+G120</f>
        <v>2922</v>
      </c>
      <c r="H124" s="306">
        <f t="shared" si="23"/>
        <v>3534</v>
      </c>
      <c r="I124" s="238">
        <f t="shared" ref="I124:I130" si="24">(H124/G124)*100</f>
        <v>120.94455852156058</v>
      </c>
      <c r="K124" s="370">
        <v>2825000</v>
      </c>
      <c r="L124" s="370">
        <v>2921950</v>
      </c>
      <c r="M124" s="370">
        <v>3534137.87</v>
      </c>
      <c r="N124" s="307"/>
    </row>
    <row r="125" spans="1:14" s="35" customFormat="1" ht="15" x14ac:dyDescent="0.25">
      <c r="A125" s="82" t="s">
        <v>61</v>
      </c>
      <c r="B125" s="45"/>
      <c r="C125" s="72">
        <v>1361</v>
      </c>
      <c r="D125" s="39"/>
      <c r="E125" s="55" t="s">
        <v>1</v>
      </c>
      <c r="F125" s="155">
        <v>50</v>
      </c>
      <c r="G125" s="156">
        <v>50</v>
      </c>
      <c r="H125" s="155">
        <v>36</v>
      </c>
      <c r="I125" s="16">
        <f t="shared" si="24"/>
        <v>72</v>
      </c>
      <c r="K125" s="137"/>
      <c r="L125" s="137"/>
      <c r="M125" s="137"/>
      <c r="N125" s="285"/>
    </row>
    <row r="126" spans="1:14" s="35" customFormat="1" ht="15" x14ac:dyDescent="0.25">
      <c r="A126" s="83" t="s">
        <v>61</v>
      </c>
      <c r="B126" s="94"/>
      <c r="C126" s="42">
        <v>4116</v>
      </c>
      <c r="D126" s="43"/>
      <c r="E126" s="46" t="s">
        <v>186</v>
      </c>
      <c r="F126" s="155">
        <f>F127+F128+F129+F130+F131+F132+F133+F135+F136+F137+F138+F139+F140+F141+F143+F144+F145+F146+F147+F148+F151+F152+F154+F155+F156+F157+F158+F159+F161+F162+F163+F164+F165+F153+F160+F166+F167+F168+F149+F150</f>
        <v>0</v>
      </c>
      <c r="G126" s="155">
        <f t="shared" ref="G126" si="25">G127+G128+G129+G130+G131+G132+G133+G135+G136+G137+G138+G139+G140+G141+G143+G144+G145+G146+G147+G148+G151+G152+G154+G155+G156+G157+G158+G159+G161+G162+G163+G164+G165+G153+G160+G166+G167+G168+G149+G150</f>
        <v>6420030</v>
      </c>
      <c r="H126" s="155">
        <f>H127+H128+H129+H130+H131+H132+H133+H135+H136+H137+H138+H139+H140+H141+H143+H144+H145+H146+H147+H148+H151+H152+H154+H155+H156+H157+H158+H159+H161+H162+H163+H164+H165+H153+H160+H166+H167+H168+H149+H150</f>
        <v>6420170</v>
      </c>
      <c r="I126" s="16">
        <f t="shared" si="24"/>
        <v>100.00218067516819</v>
      </c>
      <c r="K126" s="137"/>
      <c r="L126" s="137"/>
      <c r="M126" s="137"/>
      <c r="N126" s="285"/>
    </row>
    <row r="127" spans="1:14" s="35" customFormat="1" ht="12.75" hidden="1" x14ac:dyDescent="0.2">
      <c r="A127" s="83" t="s">
        <v>61</v>
      </c>
      <c r="B127" s="94"/>
      <c r="C127" s="42"/>
      <c r="D127" s="525" t="s">
        <v>154</v>
      </c>
      <c r="E127" s="266" t="s">
        <v>294</v>
      </c>
      <c r="F127" s="480"/>
      <c r="G127" s="429"/>
      <c r="H127" s="452"/>
      <c r="I127" s="454" t="e">
        <f t="shared" si="24"/>
        <v>#DIV/0!</v>
      </c>
      <c r="K127" s="137"/>
      <c r="L127" s="137"/>
      <c r="M127" s="137"/>
      <c r="N127" s="285"/>
    </row>
    <row r="128" spans="1:14" s="35" customFormat="1" ht="25.5" x14ac:dyDescent="0.2">
      <c r="A128" s="83"/>
      <c r="B128" s="94"/>
      <c r="C128" s="42"/>
      <c r="D128" s="524" t="s">
        <v>337</v>
      </c>
      <c r="E128" s="579" t="s">
        <v>338</v>
      </c>
      <c r="F128" s="584"/>
      <c r="G128" s="559">
        <v>1302</v>
      </c>
      <c r="H128" s="583">
        <v>1302</v>
      </c>
      <c r="I128" s="458">
        <f t="shared" si="24"/>
        <v>100</v>
      </c>
      <c r="K128" s="137"/>
      <c r="L128" s="137"/>
      <c r="M128" s="137"/>
      <c r="N128" s="285"/>
    </row>
    <row r="129" spans="1:14" s="35" customFormat="1" ht="12.75" x14ac:dyDescent="0.2">
      <c r="A129" s="83"/>
      <c r="B129" s="94"/>
      <c r="C129" s="42"/>
      <c r="D129" s="525" t="s">
        <v>187</v>
      </c>
      <c r="E129" s="266" t="s">
        <v>295</v>
      </c>
      <c r="F129" s="480"/>
      <c r="G129" s="429">
        <v>32</v>
      </c>
      <c r="H129" s="452">
        <v>32</v>
      </c>
      <c r="I129" s="454">
        <f t="shared" si="24"/>
        <v>100</v>
      </c>
      <c r="K129" s="137"/>
      <c r="L129" s="137"/>
      <c r="M129" s="137"/>
      <c r="N129" s="285"/>
    </row>
    <row r="130" spans="1:14" s="35" customFormat="1" ht="12.75" x14ac:dyDescent="0.2">
      <c r="A130" s="83"/>
      <c r="B130" s="94"/>
      <c r="C130" s="42"/>
      <c r="D130" s="525" t="s">
        <v>188</v>
      </c>
      <c r="E130" s="266" t="s">
        <v>194</v>
      </c>
      <c r="F130" s="480"/>
      <c r="G130" s="429">
        <v>24</v>
      </c>
      <c r="H130" s="452">
        <v>24</v>
      </c>
      <c r="I130" s="454">
        <f t="shared" si="24"/>
        <v>100</v>
      </c>
      <c r="K130" s="137"/>
      <c r="L130" s="137"/>
      <c r="M130" s="137"/>
      <c r="N130" s="285"/>
    </row>
    <row r="131" spans="1:14" s="35" customFormat="1" ht="12.75" x14ac:dyDescent="0.2">
      <c r="A131" s="83"/>
      <c r="B131" s="94"/>
      <c r="C131" s="42"/>
      <c r="D131" s="517" t="s">
        <v>155</v>
      </c>
      <c r="E131" s="234" t="s">
        <v>296</v>
      </c>
      <c r="F131" s="480"/>
      <c r="G131" s="429">
        <v>50</v>
      </c>
      <c r="H131" s="452">
        <v>50</v>
      </c>
      <c r="I131" s="454">
        <f t="shared" ref="I131:I160" si="26">(H131/G131)*100</f>
        <v>100</v>
      </c>
      <c r="K131" s="137"/>
      <c r="L131" s="137"/>
      <c r="M131" s="137"/>
      <c r="N131" s="285"/>
    </row>
    <row r="132" spans="1:14" s="35" customFormat="1" ht="12.75" hidden="1" x14ac:dyDescent="0.2">
      <c r="A132" s="83"/>
      <c r="B132" s="94"/>
      <c r="C132" s="42"/>
      <c r="D132" s="517" t="s">
        <v>156</v>
      </c>
      <c r="E132" s="114" t="s">
        <v>297</v>
      </c>
      <c r="F132" s="480"/>
      <c r="G132" s="429"/>
      <c r="H132" s="452"/>
      <c r="I132" s="454" t="e">
        <f t="shared" si="26"/>
        <v>#DIV/0!</v>
      </c>
      <c r="K132" s="137"/>
      <c r="L132" s="137"/>
      <c r="M132" s="137"/>
      <c r="N132" s="285"/>
    </row>
    <row r="133" spans="1:14" s="35" customFormat="1" ht="12.75" x14ac:dyDescent="0.2">
      <c r="A133" s="664"/>
      <c r="B133" s="94"/>
      <c r="C133" s="42"/>
      <c r="D133" s="668" t="s">
        <v>157</v>
      </c>
      <c r="E133" s="683" t="s">
        <v>298</v>
      </c>
      <c r="F133" s="480"/>
      <c r="G133" s="429">
        <v>534</v>
      </c>
      <c r="H133" s="452">
        <v>534</v>
      </c>
      <c r="I133" s="454">
        <f t="shared" si="26"/>
        <v>100</v>
      </c>
      <c r="K133" s="137"/>
      <c r="L133" s="137"/>
      <c r="M133" s="137"/>
      <c r="N133" s="285"/>
    </row>
    <row r="134" spans="1:14" s="35" customFormat="1" ht="12.75" x14ac:dyDescent="0.2">
      <c r="A134" s="665"/>
      <c r="B134" s="94"/>
      <c r="C134" s="42"/>
      <c r="D134" s="669"/>
      <c r="E134" s="667"/>
      <c r="F134" s="480"/>
      <c r="G134" s="429"/>
      <c r="H134" s="452"/>
      <c r="I134" s="454"/>
      <c r="K134" s="137"/>
      <c r="L134" s="137"/>
      <c r="M134" s="137"/>
      <c r="N134" s="285"/>
    </row>
    <row r="135" spans="1:14" s="35" customFormat="1" ht="12.75" x14ac:dyDescent="0.2">
      <c r="A135" s="83"/>
      <c r="B135" s="94"/>
      <c r="C135" s="42"/>
      <c r="D135" s="525" t="s">
        <v>158</v>
      </c>
      <c r="E135" s="311" t="s">
        <v>96</v>
      </c>
      <c r="F135" s="480"/>
      <c r="G135" s="429">
        <v>96</v>
      </c>
      <c r="H135" s="452">
        <v>96</v>
      </c>
      <c r="I135" s="454">
        <f t="shared" si="26"/>
        <v>100</v>
      </c>
      <c r="K135" s="137"/>
      <c r="L135" s="137"/>
      <c r="M135" s="137"/>
      <c r="N135" s="285"/>
    </row>
    <row r="136" spans="1:14" s="35" customFormat="1" ht="12.75" x14ac:dyDescent="0.2">
      <c r="A136" s="83"/>
      <c r="B136" s="94"/>
      <c r="C136" s="42"/>
      <c r="D136" s="525" t="s">
        <v>159</v>
      </c>
      <c r="E136" s="311" t="s">
        <v>114</v>
      </c>
      <c r="F136" s="480"/>
      <c r="G136" s="429">
        <v>1517</v>
      </c>
      <c r="H136" s="452">
        <v>1517</v>
      </c>
      <c r="I136" s="454">
        <f t="shared" si="26"/>
        <v>100</v>
      </c>
      <c r="K136" s="137"/>
      <c r="L136" s="137"/>
      <c r="M136" s="137"/>
      <c r="N136" s="285"/>
    </row>
    <row r="137" spans="1:14" s="35" customFormat="1" ht="12.75" hidden="1" x14ac:dyDescent="0.2">
      <c r="A137" s="83"/>
      <c r="B137" s="94"/>
      <c r="C137" s="42"/>
      <c r="D137" s="525" t="s">
        <v>160</v>
      </c>
      <c r="E137" s="311" t="s">
        <v>128</v>
      </c>
      <c r="F137" s="480"/>
      <c r="G137" s="429"/>
      <c r="H137" s="452"/>
      <c r="I137" s="454" t="e">
        <f t="shared" si="26"/>
        <v>#DIV/0!</v>
      </c>
      <c r="K137" s="137"/>
      <c r="L137" s="137"/>
      <c r="M137" s="137"/>
      <c r="N137" s="285"/>
    </row>
    <row r="138" spans="1:14" s="35" customFormat="1" ht="12.75" hidden="1" x14ac:dyDescent="0.2">
      <c r="A138" s="83"/>
      <c r="B138" s="94"/>
      <c r="C138" s="42"/>
      <c r="D138" s="525" t="s">
        <v>203</v>
      </c>
      <c r="E138" s="311" t="s">
        <v>204</v>
      </c>
      <c r="F138" s="480"/>
      <c r="G138" s="429"/>
      <c r="H138" s="452"/>
      <c r="I138" s="454" t="e">
        <f t="shared" si="26"/>
        <v>#DIV/0!</v>
      </c>
      <c r="K138" s="137"/>
      <c r="L138" s="137"/>
      <c r="M138" s="137"/>
      <c r="N138" s="285"/>
    </row>
    <row r="139" spans="1:14" s="35" customFormat="1" ht="12.75" hidden="1" x14ac:dyDescent="0.2">
      <c r="A139" s="83"/>
      <c r="B139" s="94"/>
      <c r="C139" s="42"/>
      <c r="D139" s="525" t="s">
        <v>161</v>
      </c>
      <c r="E139" s="311" t="s">
        <v>299</v>
      </c>
      <c r="F139" s="480"/>
      <c r="G139" s="429"/>
      <c r="H139" s="452"/>
      <c r="I139" s="454" t="e">
        <f t="shared" si="26"/>
        <v>#DIV/0!</v>
      </c>
      <c r="K139" s="137"/>
      <c r="L139" s="137"/>
      <c r="M139" s="137"/>
      <c r="N139" s="285"/>
    </row>
    <row r="140" spans="1:14" s="35" customFormat="1" ht="12.75" x14ac:dyDescent="0.2">
      <c r="A140" s="83"/>
      <c r="B140" s="94"/>
      <c r="C140" s="42"/>
      <c r="D140" s="525" t="s">
        <v>189</v>
      </c>
      <c r="E140" s="311" t="s">
        <v>193</v>
      </c>
      <c r="F140" s="480"/>
      <c r="G140" s="429">
        <v>11989</v>
      </c>
      <c r="H140" s="452">
        <v>11989</v>
      </c>
      <c r="I140" s="454">
        <f t="shared" si="26"/>
        <v>100</v>
      </c>
      <c r="K140" s="137"/>
      <c r="L140" s="137"/>
      <c r="M140" s="137"/>
      <c r="N140" s="285"/>
    </row>
    <row r="141" spans="1:14" s="35" customFormat="1" ht="12.75" x14ac:dyDescent="0.2">
      <c r="A141" s="664"/>
      <c r="B141" s="94"/>
      <c r="C141" s="42"/>
      <c r="D141" s="668" t="s">
        <v>190</v>
      </c>
      <c r="E141" s="680" t="s">
        <v>198</v>
      </c>
      <c r="F141" s="480"/>
      <c r="G141" s="429">
        <v>898</v>
      </c>
      <c r="H141" s="452">
        <v>898</v>
      </c>
      <c r="I141" s="454">
        <f t="shared" si="26"/>
        <v>100</v>
      </c>
      <c r="K141" s="137"/>
      <c r="L141" s="137"/>
      <c r="M141" s="137"/>
      <c r="N141" s="285"/>
    </row>
    <row r="142" spans="1:14" s="35" customFormat="1" ht="12.75" x14ac:dyDescent="0.2">
      <c r="A142" s="665"/>
      <c r="B142" s="94"/>
      <c r="C142" s="42"/>
      <c r="D142" s="669"/>
      <c r="E142" s="680"/>
      <c r="F142" s="480"/>
      <c r="G142" s="429"/>
      <c r="H142" s="452"/>
      <c r="I142" s="454"/>
      <c r="K142" s="137"/>
      <c r="L142" s="137"/>
      <c r="M142" s="137"/>
      <c r="N142" s="285"/>
    </row>
    <row r="143" spans="1:14" s="35" customFormat="1" ht="12.75" x14ac:dyDescent="0.2">
      <c r="A143" s="83"/>
      <c r="B143" s="94"/>
      <c r="C143" s="42"/>
      <c r="D143" s="525" t="s">
        <v>191</v>
      </c>
      <c r="E143" s="311" t="s">
        <v>195</v>
      </c>
      <c r="F143" s="480"/>
      <c r="G143" s="429">
        <v>117474</v>
      </c>
      <c r="H143" s="452">
        <v>117474</v>
      </c>
      <c r="I143" s="454">
        <f t="shared" si="26"/>
        <v>100</v>
      </c>
      <c r="K143" s="137"/>
      <c r="L143" s="137"/>
      <c r="M143" s="137"/>
      <c r="N143" s="285"/>
    </row>
    <row r="144" spans="1:14" s="35" customFormat="1" ht="12.75" x14ac:dyDescent="0.2">
      <c r="A144" s="83"/>
      <c r="B144" s="94"/>
      <c r="C144" s="42"/>
      <c r="D144" s="525" t="s">
        <v>247</v>
      </c>
      <c r="E144" s="311" t="s">
        <v>248</v>
      </c>
      <c r="F144" s="480"/>
      <c r="G144" s="429">
        <v>420</v>
      </c>
      <c r="H144" s="452">
        <v>420</v>
      </c>
      <c r="I144" s="454">
        <f t="shared" si="26"/>
        <v>100</v>
      </c>
      <c r="K144" s="137"/>
      <c r="L144" s="137"/>
      <c r="M144" s="137"/>
      <c r="N144" s="285"/>
    </row>
    <row r="145" spans="1:14" s="35" customFormat="1" ht="12.75" x14ac:dyDescent="0.2">
      <c r="A145" s="83"/>
      <c r="B145" s="94"/>
      <c r="C145" s="42"/>
      <c r="D145" s="525" t="s">
        <v>249</v>
      </c>
      <c r="E145" s="311" t="s">
        <v>250</v>
      </c>
      <c r="F145" s="480"/>
      <c r="G145" s="429">
        <v>361</v>
      </c>
      <c r="H145" s="452">
        <v>361</v>
      </c>
      <c r="I145" s="454">
        <f t="shared" si="26"/>
        <v>100</v>
      </c>
      <c r="K145" s="137"/>
      <c r="L145" s="137"/>
      <c r="M145" s="137"/>
      <c r="N145" s="285"/>
    </row>
    <row r="146" spans="1:14" s="35" customFormat="1" ht="25.5" x14ac:dyDescent="0.2">
      <c r="A146" s="508"/>
      <c r="B146" s="94"/>
      <c r="C146" s="42"/>
      <c r="D146" s="524" t="s">
        <v>251</v>
      </c>
      <c r="E146" s="445" t="s">
        <v>252</v>
      </c>
      <c r="F146" s="481"/>
      <c r="G146" s="482">
        <v>11149</v>
      </c>
      <c r="H146" s="466">
        <v>11149</v>
      </c>
      <c r="I146" s="468">
        <f t="shared" si="26"/>
        <v>100</v>
      </c>
      <c r="K146" s="137"/>
      <c r="L146" s="137"/>
      <c r="M146" s="137"/>
      <c r="N146" s="285"/>
    </row>
    <row r="147" spans="1:14" s="35" customFormat="1" ht="12.75" x14ac:dyDescent="0.2">
      <c r="A147" s="83"/>
      <c r="B147" s="94"/>
      <c r="C147" s="42"/>
      <c r="D147" s="525" t="s">
        <v>339</v>
      </c>
      <c r="E147" s="311" t="s">
        <v>340</v>
      </c>
      <c r="F147" s="480"/>
      <c r="G147" s="429">
        <v>1648</v>
      </c>
      <c r="H147" s="452">
        <v>1648</v>
      </c>
      <c r="I147" s="454">
        <f t="shared" si="26"/>
        <v>100</v>
      </c>
      <c r="K147" s="137"/>
      <c r="L147" s="137"/>
      <c r="M147" s="137"/>
      <c r="N147" s="285"/>
    </row>
    <row r="148" spans="1:14" s="35" customFormat="1" ht="12.75" x14ac:dyDescent="0.2">
      <c r="A148" s="554"/>
      <c r="B148" s="94"/>
      <c r="C148" s="42"/>
      <c r="D148" s="556" t="s">
        <v>341</v>
      </c>
      <c r="E148" s="555" t="s">
        <v>342</v>
      </c>
      <c r="F148" s="480"/>
      <c r="G148" s="429">
        <v>735</v>
      </c>
      <c r="H148" s="452">
        <v>735</v>
      </c>
      <c r="I148" s="454">
        <f t="shared" si="26"/>
        <v>100</v>
      </c>
      <c r="K148" s="137"/>
      <c r="L148" s="137"/>
      <c r="M148" s="137"/>
      <c r="N148" s="285"/>
    </row>
    <row r="149" spans="1:14" s="35" customFormat="1" ht="12.75" x14ac:dyDescent="0.2">
      <c r="A149" s="83"/>
      <c r="B149" s="94"/>
      <c r="C149" s="557"/>
      <c r="D149" s="556" t="s">
        <v>343</v>
      </c>
      <c r="E149" s="553" t="s">
        <v>344</v>
      </c>
      <c r="F149" s="480"/>
      <c r="G149" s="429">
        <v>38703</v>
      </c>
      <c r="H149" s="452">
        <v>38703</v>
      </c>
      <c r="I149" s="454">
        <f t="shared" si="26"/>
        <v>100</v>
      </c>
      <c r="K149" s="137"/>
      <c r="L149" s="137"/>
      <c r="M149" s="137"/>
      <c r="N149" s="285"/>
    </row>
    <row r="150" spans="1:14" s="35" customFormat="1" ht="12.75" x14ac:dyDescent="0.2">
      <c r="A150" s="83"/>
      <c r="B150" s="94"/>
      <c r="C150" s="557"/>
      <c r="D150" s="526" t="s">
        <v>162</v>
      </c>
      <c r="E150" s="138" t="s">
        <v>345</v>
      </c>
      <c r="F150" s="480"/>
      <c r="G150" s="429">
        <v>615</v>
      </c>
      <c r="H150" s="452">
        <v>615</v>
      </c>
      <c r="I150" s="454">
        <f t="shared" si="26"/>
        <v>100</v>
      </c>
      <c r="K150" s="137"/>
      <c r="L150" s="137"/>
      <c r="M150" s="137"/>
      <c r="N150" s="285"/>
    </row>
    <row r="151" spans="1:14" s="35" customFormat="1" ht="12.75" x14ac:dyDescent="0.2">
      <c r="A151" s="83"/>
      <c r="B151" s="94"/>
      <c r="C151" s="42"/>
      <c r="D151" s="526" t="s">
        <v>163</v>
      </c>
      <c r="E151" s="312" t="s">
        <v>37</v>
      </c>
      <c r="F151" s="452"/>
      <c r="G151" s="252">
        <v>286997</v>
      </c>
      <c r="H151" s="452">
        <v>286997</v>
      </c>
      <c r="I151" s="454">
        <f t="shared" si="26"/>
        <v>100</v>
      </c>
      <c r="K151" s="137"/>
      <c r="L151" s="137"/>
      <c r="M151" s="137"/>
      <c r="N151" s="285"/>
    </row>
    <row r="152" spans="1:14" s="35" customFormat="1" ht="12.75" x14ac:dyDescent="0.2">
      <c r="A152" s="83"/>
      <c r="B152" s="94"/>
      <c r="C152" s="42"/>
      <c r="D152" s="525" t="s">
        <v>164</v>
      </c>
      <c r="E152" s="138" t="s">
        <v>97</v>
      </c>
      <c r="F152" s="452"/>
      <c r="G152" s="252">
        <v>1087</v>
      </c>
      <c r="H152" s="452">
        <v>1087</v>
      </c>
      <c r="I152" s="454">
        <f t="shared" si="26"/>
        <v>100</v>
      </c>
      <c r="K152" s="137"/>
      <c r="L152" s="137"/>
      <c r="M152" s="137"/>
      <c r="N152" s="285"/>
    </row>
    <row r="153" spans="1:14" s="35" customFormat="1" ht="12.75" hidden="1" x14ac:dyDescent="0.2">
      <c r="A153" s="83"/>
      <c r="B153" s="94"/>
      <c r="C153" s="42"/>
      <c r="D153" s="525" t="s">
        <v>253</v>
      </c>
      <c r="E153" s="138" t="s">
        <v>254</v>
      </c>
      <c r="F153" s="452"/>
      <c r="G153" s="252"/>
      <c r="H153" s="452"/>
      <c r="I153" s="454" t="e">
        <f t="shared" si="26"/>
        <v>#DIV/0!</v>
      </c>
      <c r="K153" s="137"/>
      <c r="L153" s="137"/>
      <c r="M153" s="137"/>
      <c r="N153" s="285"/>
    </row>
    <row r="154" spans="1:14" s="35" customFormat="1" ht="12.75" x14ac:dyDescent="0.2">
      <c r="A154" s="83"/>
      <c r="B154" s="94"/>
      <c r="C154" s="42"/>
      <c r="D154" s="525" t="s">
        <v>165</v>
      </c>
      <c r="E154" s="281" t="s">
        <v>98</v>
      </c>
      <c r="F154" s="452"/>
      <c r="G154" s="252">
        <v>1538</v>
      </c>
      <c r="H154" s="452">
        <v>1538</v>
      </c>
      <c r="I154" s="454">
        <f t="shared" si="26"/>
        <v>100</v>
      </c>
      <c r="K154" s="137"/>
      <c r="L154" s="137"/>
      <c r="M154" s="137"/>
      <c r="N154" s="285"/>
    </row>
    <row r="155" spans="1:14" s="35" customFormat="1" ht="12.75" x14ac:dyDescent="0.2">
      <c r="A155" s="83"/>
      <c r="B155" s="94"/>
      <c r="C155" s="42"/>
      <c r="D155" s="525" t="s">
        <v>166</v>
      </c>
      <c r="E155" s="311" t="s">
        <v>300</v>
      </c>
      <c r="F155" s="452"/>
      <c r="G155" s="252">
        <v>76</v>
      </c>
      <c r="H155" s="452">
        <v>76</v>
      </c>
      <c r="I155" s="454">
        <f t="shared" si="26"/>
        <v>100</v>
      </c>
      <c r="K155" s="137"/>
      <c r="L155" s="137"/>
      <c r="M155" s="137"/>
      <c r="N155" s="285"/>
    </row>
    <row r="156" spans="1:14" s="35" customFormat="1" ht="12.75" x14ac:dyDescent="0.2">
      <c r="A156" s="83"/>
      <c r="B156" s="94"/>
      <c r="C156" s="42"/>
      <c r="D156" s="525" t="s">
        <v>167</v>
      </c>
      <c r="E156" s="281" t="s">
        <v>311</v>
      </c>
      <c r="F156" s="480"/>
      <c r="G156" s="252">
        <v>7261</v>
      </c>
      <c r="H156" s="452">
        <v>7261</v>
      </c>
      <c r="I156" s="454">
        <f t="shared" si="26"/>
        <v>100</v>
      </c>
      <c r="K156" s="137"/>
      <c r="L156" s="137"/>
      <c r="M156" s="137"/>
      <c r="N156" s="285"/>
    </row>
    <row r="157" spans="1:14" s="35" customFormat="1" ht="12.75" hidden="1" x14ac:dyDescent="0.2">
      <c r="A157" s="83"/>
      <c r="B157" s="94"/>
      <c r="C157" s="42"/>
      <c r="D157" s="525" t="s">
        <v>192</v>
      </c>
      <c r="E157" s="281" t="s">
        <v>196</v>
      </c>
      <c r="F157" s="480"/>
      <c r="G157" s="252"/>
      <c r="H157" s="452"/>
      <c r="I157" s="454" t="e">
        <f t="shared" si="26"/>
        <v>#DIV/0!</v>
      </c>
      <c r="K157" s="137"/>
      <c r="L157" s="137"/>
      <c r="M157" s="137"/>
      <c r="N157" s="285"/>
    </row>
    <row r="158" spans="1:14" s="35" customFormat="1" ht="12.75" x14ac:dyDescent="0.2">
      <c r="A158" s="83"/>
      <c r="B158" s="94"/>
      <c r="C158" s="42"/>
      <c r="D158" s="526" t="s">
        <v>168</v>
      </c>
      <c r="E158" s="45" t="s">
        <v>36</v>
      </c>
      <c r="F158" s="452"/>
      <c r="G158" s="252">
        <v>5874616</v>
      </c>
      <c r="H158" s="452">
        <v>5874616</v>
      </c>
      <c r="I158" s="454">
        <f t="shared" si="26"/>
        <v>100</v>
      </c>
      <c r="K158" s="137"/>
      <c r="L158" s="137"/>
      <c r="M158" s="137"/>
      <c r="N158" s="285"/>
    </row>
    <row r="159" spans="1:14" s="35" customFormat="1" ht="15" customHeight="1" x14ac:dyDescent="0.2">
      <c r="A159" s="513"/>
      <c r="B159" s="94"/>
      <c r="C159" s="42"/>
      <c r="D159" s="580" t="s">
        <v>312</v>
      </c>
      <c r="E159" s="514" t="s">
        <v>313</v>
      </c>
      <c r="F159" s="452"/>
      <c r="G159" s="252">
        <v>3857</v>
      </c>
      <c r="H159" s="452">
        <v>3857</v>
      </c>
      <c r="I159" s="454">
        <f t="shared" si="26"/>
        <v>100</v>
      </c>
      <c r="K159" s="137"/>
      <c r="L159" s="137"/>
      <c r="M159" s="137"/>
      <c r="N159" s="285"/>
    </row>
    <row r="160" spans="1:14" s="35" customFormat="1" ht="26.25" customHeight="1" x14ac:dyDescent="0.2">
      <c r="A160" s="513"/>
      <c r="B160" s="94"/>
      <c r="C160" s="42"/>
      <c r="D160" s="518" t="s">
        <v>169</v>
      </c>
      <c r="E160" s="514" t="s">
        <v>301</v>
      </c>
      <c r="F160" s="452"/>
      <c r="G160" s="252">
        <v>30</v>
      </c>
      <c r="H160" s="452">
        <v>30</v>
      </c>
      <c r="I160" s="454">
        <f t="shared" si="26"/>
        <v>100</v>
      </c>
      <c r="K160" s="137"/>
      <c r="L160" s="137"/>
      <c r="M160" s="137"/>
      <c r="N160" s="285"/>
    </row>
    <row r="161" spans="1:14" s="35" customFormat="1" ht="12.75" x14ac:dyDescent="0.2">
      <c r="A161" s="83"/>
      <c r="B161" s="94"/>
      <c r="C161" s="42"/>
      <c r="D161" s="525" t="s">
        <v>170</v>
      </c>
      <c r="E161" s="311" t="s">
        <v>302</v>
      </c>
      <c r="F161" s="480"/>
      <c r="G161" s="252">
        <v>5947</v>
      </c>
      <c r="H161" s="452">
        <v>5947</v>
      </c>
      <c r="I161" s="454">
        <f t="shared" ref="I161:I183" si="27">(H161/G161)*100</f>
        <v>100</v>
      </c>
      <c r="K161" s="137"/>
      <c r="L161" s="137"/>
      <c r="M161" s="137"/>
      <c r="N161" s="285"/>
    </row>
    <row r="162" spans="1:14" s="35" customFormat="1" ht="12.75" x14ac:dyDescent="0.2">
      <c r="A162" s="508"/>
      <c r="B162" s="94"/>
      <c r="C162" s="42"/>
      <c r="D162" s="524" t="s">
        <v>147</v>
      </c>
      <c r="E162" s="281" t="s">
        <v>346</v>
      </c>
      <c r="F162" s="481"/>
      <c r="G162" s="483"/>
      <c r="H162" s="466">
        <v>140</v>
      </c>
      <c r="I162" s="468">
        <v>0</v>
      </c>
      <c r="K162" s="137"/>
      <c r="L162" s="137"/>
      <c r="M162" s="137"/>
      <c r="N162" s="285"/>
    </row>
    <row r="163" spans="1:14" s="35" customFormat="1" ht="25.5" x14ac:dyDescent="0.2">
      <c r="A163" s="508"/>
      <c r="B163" s="94"/>
      <c r="C163" s="42"/>
      <c r="D163" s="524" t="s">
        <v>148</v>
      </c>
      <c r="E163" s="317" t="s">
        <v>255</v>
      </c>
      <c r="F163" s="481"/>
      <c r="G163" s="483">
        <v>175</v>
      </c>
      <c r="H163" s="466">
        <v>175</v>
      </c>
      <c r="I163" s="468">
        <f t="shared" si="27"/>
        <v>100</v>
      </c>
      <c r="K163" s="137"/>
      <c r="L163" s="137"/>
      <c r="M163" s="137"/>
      <c r="N163" s="285"/>
    </row>
    <row r="164" spans="1:14" s="35" customFormat="1" ht="25.5" x14ac:dyDescent="0.2">
      <c r="A164" s="508"/>
      <c r="B164" s="94"/>
      <c r="C164" s="42"/>
      <c r="D164" s="524" t="s">
        <v>256</v>
      </c>
      <c r="E164" s="281" t="s">
        <v>257</v>
      </c>
      <c r="F164" s="481"/>
      <c r="G164" s="483">
        <v>150</v>
      </c>
      <c r="H164" s="466">
        <v>150</v>
      </c>
      <c r="I164" s="454">
        <f t="shared" si="27"/>
        <v>100</v>
      </c>
      <c r="K164" s="137"/>
      <c r="L164" s="137"/>
      <c r="M164" s="137"/>
      <c r="N164" s="285"/>
    </row>
    <row r="165" spans="1:14" s="35" customFormat="1" ht="12.75" x14ac:dyDescent="0.2">
      <c r="A165" s="83"/>
      <c r="B165" s="96"/>
      <c r="C165" s="42"/>
      <c r="D165" s="525" t="s">
        <v>149</v>
      </c>
      <c r="E165" s="317" t="s">
        <v>87</v>
      </c>
      <c r="F165" s="480"/>
      <c r="G165" s="483">
        <v>423</v>
      </c>
      <c r="H165" s="452">
        <v>423</v>
      </c>
      <c r="I165" s="454">
        <f t="shared" si="27"/>
        <v>100</v>
      </c>
      <c r="K165" s="137"/>
      <c r="L165" s="137"/>
      <c r="M165" s="137"/>
      <c r="N165" s="285"/>
    </row>
    <row r="166" spans="1:14" s="35" customFormat="1" ht="12.75" x14ac:dyDescent="0.2">
      <c r="A166" s="83"/>
      <c r="B166" s="96"/>
      <c r="C166" s="42"/>
      <c r="D166" s="525" t="s">
        <v>150</v>
      </c>
      <c r="E166" s="317" t="s">
        <v>185</v>
      </c>
      <c r="F166" s="480"/>
      <c r="G166" s="483">
        <v>64</v>
      </c>
      <c r="H166" s="452">
        <v>64</v>
      </c>
      <c r="I166" s="454">
        <f t="shared" si="27"/>
        <v>100</v>
      </c>
      <c r="K166" s="137"/>
      <c r="L166" s="137"/>
      <c r="M166" s="137"/>
      <c r="N166" s="285"/>
    </row>
    <row r="167" spans="1:14" s="35" customFormat="1" ht="12.75" x14ac:dyDescent="0.2">
      <c r="A167" s="83"/>
      <c r="B167" s="96"/>
      <c r="C167" s="42"/>
      <c r="D167" s="525" t="s">
        <v>258</v>
      </c>
      <c r="E167" s="317" t="s">
        <v>259</v>
      </c>
      <c r="F167" s="480"/>
      <c r="G167" s="483">
        <v>7539</v>
      </c>
      <c r="H167" s="452">
        <v>7539</v>
      </c>
      <c r="I167" s="454">
        <f t="shared" si="27"/>
        <v>100</v>
      </c>
      <c r="K167" s="137"/>
      <c r="L167" s="137"/>
      <c r="M167" s="137"/>
      <c r="N167" s="285"/>
    </row>
    <row r="168" spans="1:14" s="35" customFormat="1" ht="12.75" x14ac:dyDescent="0.2">
      <c r="A168" s="83"/>
      <c r="B168" s="96"/>
      <c r="C168" s="42"/>
      <c r="D168" s="525" t="s">
        <v>260</v>
      </c>
      <c r="E168" s="317" t="s">
        <v>259</v>
      </c>
      <c r="F168" s="480"/>
      <c r="G168" s="483">
        <v>42723</v>
      </c>
      <c r="H168" s="452">
        <v>42723</v>
      </c>
      <c r="I168" s="454">
        <f t="shared" si="27"/>
        <v>100</v>
      </c>
      <c r="K168" s="137"/>
      <c r="L168" s="137"/>
      <c r="M168" s="137"/>
      <c r="N168" s="285"/>
    </row>
    <row r="169" spans="1:14" s="35" customFormat="1" ht="15" x14ac:dyDescent="0.25">
      <c r="A169" s="83" t="s">
        <v>61</v>
      </c>
      <c r="B169" s="96"/>
      <c r="C169" s="42">
        <v>4216</v>
      </c>
      <c r="D169" s="525"/>
      <c r="E169" s="46" t="s">
        <v>82</v>
      </c>
      <c r="F169" s="155">
        <f>F173+F170+F171+F172</f>
        <v>0</v>
      </c>
      <c r="G169" s="155">
        <f t="shared" ref="G169:H169" si="28">G173+G170+G171+G172</f>
        <v>4854</v>
      </c>
      <c r="H169" s="155">
        <f t="shared" si="28"/>
        <v>4854</v>
      </c>
      <c r="I169" s="16">
        <f>H169/G169*100</f>
        <v>100</v>
      </c>
      <c r="K169" s="137"/>
      <c r="L169" s="137"/>
      <c r="M169" s="137"/>
      <c r="N169" s="285"/>
    </row>
    <row r="170" spans="1:14" s="35" customFormat="1" ht="12.75" x14ac:dyDescent="0.2">
      <c r="A170" s="83"/>
      <c r="B170" s="96"/>
      <c r="C170" s="557"/>
      <c r="D170" s="525" t="s">
        <v>347</v>
      </c>
      <c r="E170" s="317" t="s">
        <v>348</v>
      </c>
      <c r="F170" s="558"/>
      <c r="G170" s="483">
        <v>4799</v>
      </c>
      <c r="H170" s="551">
        <v>4799</v>
      </c>
      <c r="I170" s="468">
        <f t="shared" si="27"/>
        <v>100</v>
      </c>
      <c r="K170" s="137"/>
      <c r="L170" s="137"/>
      <c r="M170" s="137"/>
      <c r="N170" s="285"/>
    </row>
    <row r="171" spans="1:14" s="35" customFormat="1" ht="12.75" x14ac:dyDescent="0.2">
      <c r="A171" s="83"/>
      <c r="B171" s="96"/>
      <c r="C171" s="557"/>
      <c r="D171" s="525" t="s">
        <v>349</v>
      </c>
      <c r="E171" s="317" t="s">
        <v>350</v>
      </c>
      <c r="F171" s="558"/>
      <c r="G171" s="483">
        <v>8</v>
      </c>
      <c r="H171" s="551">
        <v>8</v>
      </c>
      <c r="I171" s="468">
        <f t="shared" si="27"/>
        <v>100</v>
      </c>
      <c r="K171" s="137"/>
      <c r="L171" s="137"/>
      <c r="M171" s="137"/>
      <c r="N171" s="285"/>
    </row>
    <row r="172" spans="1:14" s="35" customFormat="1" ht="12.75" x14ac:dyDescent="0.2">
      <c r="A172" s="83"/>
      <c r="B172" s="96"/>
      <c r="C172" s="557"/>
      <c r="D172" s="525" t="s">
        <v>351</v>
      </c>
      <c r="E172" s="317" t="s">
        <v>350</v>
      </c>
      <c r="F172" s="558"/>
      <c r="G172" s="483">
        <v>47</v>
      </c>
      <c r="H172" s="551">
        <v>47</v>
      </c>
      <c r="I172" s="468">
        <f t="shared" si="27"/>
        <v>100</v>
      </c>
      <c r="K172" s="137"/>
      <c r="L172" s="137"/>
      <c r="M172" s="137"/>
      <c r="N172" s="285"/>
    </row>
    <row r="173" spans="1:14" s="35" customFormat="1" ht="12.75" hidden="1" x14ac:dyDescent="0.2">
      <c r="A173" s="508" t="s">
        <v>61</v>
      </c>
      <c r="B173" s="96"/>
      <c r="C173" s="42"/>
      <c r="D173" s="525" t="s">
        <v>261</v>
      </c>
      <c r="E173" s="317" t="s">
        <v>262</v>
      </c>
      <c r="F173" s="481"/>
      <c r="G173" s="483"/>
      <c r="H173" s="466"/>
      <c r="I173" s="468" t="e">
        <f t="shared" si="27"/>
        <v>#DIV/0!</v>
      </c>
      <c r="K173" s="137"/>
      <c r="L173" s="137"/>
      <c r="M173" s="137"/>
      <c r="N173" s="285"/>
    </row>
    <row r="174" spans="1:14" s="35" customFormat="1" ht="15" x14ac:dyDescent="0.25">
      <c r="A174" s="83" t="s">
        <v>61</v>
      </c>
      <c r="B174" s="96">
        <v>6172</v>
      </c>
      <c r="C174" s="557">
        <v>2111</v>
      </c>
      <c r="D174" s="525"/>
      <c r="E174" s="55" t="s">
        <v>83</v>
      </c>
      <c r="F174" s="279"/>
      <c r="G174" s="280"/>
      <c r="H174" s="240">
        <v>2</v>
      </c>
      <c r="I174" s="16">
        <v>0</v>
      </c>
      <c r="K174" s="137"/>
      <c r="L174" s="137"/>
      <c r="M174" s="137"/>
      <c r="N174" s="285"/>
    </row>
    <row r="175" spans="1:14" s="35" customFormat="1" ht="15" x14ac:dyDescent="0.25">
      <c r="A175" s="83" t="s">
        <v>61</v>
      </c>
      <c r="B175" s="96">
        <v>6172</v>
      </c>
      <c r="C175" s="42">
        <v>2123</v>
      </c>
      <c r="D175" s="525"/>
      <c r="E175" s="55" t="s">
        <v>141</v>
      </c>
      <c r="F175" s="279"/>
      <c r="G175" s="280">
        <v>5</v>
      </c>
      <c r="H175" s="240">
        <v>23</v>
      </c>
      <c r="I175" s="16">
        <f t="shared" si="27"/>
        <v>459.99999999999994</v>
      </c>
      <c r="K175" s="137"/>
      <c r="L175" s="137"/>
      <c r="M175" s="137"/>
      <c r="N175" s="285"/>
    </row>
    <row r="176" spans="1:14" s="35" customFormat="1" ht="15" hidden="1" x14ac:dyDescent="0.25">
      <c r="A176" s="83" t="s">
        <v>61</v>
      </c>
      <c r="B176" s="96">
        <v>6172</v>
      </c>
      <c r="C176" s="42">
        <v>2132</v>
      </c>
      <c r="D176" s="527"/>
      <c r="E176" s="101" t="s">
        <v>34</v>
      </c>
      <c r="F176" s="158"/>
      <c r="G176" s="158"/>
      <c r="H176" s="158"/>
      <c r="I176" s="16" t="e">
        <f t="shared" si="27"/>
        <v>#DIV/0!</v>
      </c>
      <c r="K176" s="137"/>
      <c r="L176" s="137"/>
      <c r="M176" s="137"/>
      <c r="N176" s="285"/>
    </row>
    <row r="177" spans="1:14" s="35" customFormat="1" ht="15" x14ac:dyDescent="0.25">
      <c r="A177" s="83" t="s">
        <v>61</v>
      </c>
      <c r="B177" s="96">
        <v>6172</v>
      </c>
      <c r="C177" s="42">
        <v>2212</v>
      </c>
      <c r="D177" s="525"/>
      <c r="E177" s="52" t="s">
        <v>85</v>
      </c>
      <c r="F177" s="158"/>
      <c r="G177" s="159"/>
      <c r="H177" s="158">
        <v>3</v>
      </c>
      <c r="I177" s="16">
        <v>0</v>
      </c>
      <c r="K177" s="137"/>
      <c r="L177" s="137"/>
      <c r="M177" s="137"/>
      <c r="N177" s="285"/>
    </row>
    <row r="178" spans="1:14" s="35" customFormat="1" ht="15" x14ac:dyDescent="0.25">
      <c r="A178" s="83" t="s">
        <v>61</v>
      </c>
      <c r="B178" s="96">
        <v>6172</v>
      </c>
      <c r="C178" s="557">
        <v>2229</v>
      </c>
      <c r="D178" s="525"/>
      <c r="E178" s="52" t="s">
        <v>29</v>
      </c>
      <c r="F178" s="158"/>
      <c r="G178" s="159">
        <v>109</v>
      </c>
      <c r="H178" s="158">
        <v>109</v>
      </c>
      <c r="I178" s="16">
        <f t="shared" si="27"/>
        <v>100</v>
      </c>
      <c r="K178" s="137"/>
      <c r="L178" s="137"/>
      <c r="M178" s="137"/>
      <c r="N178" s="285"/>
    </row>
    <row r="179" spans="1:14" s="35" customFormat="1" ht="15" hidden="1" x14ac:dyDescent="0.25">
      <c r="A179" s="83" t="s">
        <v>61</v>
      </c>
      <c r="B179" s="96">
        <v>6172</v>
      </c>
      <c r="C179" s="42">
        <v>2321</v>
      </c>
      <c r="D179" s="525" t="s">
        <v>263</v>
      </c>
      <c r="E179" s="52" t="s">
        <v>303</v>
      </c>
      <c r="F179" s="158"/>
      <c r="G179" s="159"/>
      <c r="H179" s="158"/>
      <c r="I179" s="16" t="e">
        <f t="shared" si="27"/>
        <v>#DIV/0!</v>
      </c>
      <c r="K179" s="137"/>
      <c r="L179" s="137"/>
      <c r="M179" s="137"/>
      <c r="N179" s="285"/>
    </row>
    <row r="180" spans="1:14" s="35" customFormat="1" ht="15" x14ac:dyDescent="0.25">
      <c r="A180" s="83" t="s">
        <v>61</v>
      </c>
      <c r="B180" s="96">
        <v>6172</v>
      </c>
      <c r="C180" s="42">
        <v>2324</v>
      </c>
      <c r="D180" s="525"/>
      <c r="E180" s="144" t="s">
        <v>18</v>
      </c>
      <c r="F180" s="158"/>
      <c r="G180" s="159"/>
      <c r="H180" s="158">
        <v>4</v>
      </c>
      <c r="I180" s="16">
        <v>0</v>
      </c>
      <c r="K180" s="137"/>
      <c r="L180" s="137"/>
      <c r="M180" s="137"/>
      <c r="N180" s="285"/>
    </row>
    <row r="181" spans="1:14" s="35" customFormat="1" ht="15" x14ac:dyDescent="0.25">
      <c r="A181" s="83" t="s">
        <v>61</v>
      </c>
      <c r="B181" s="96">
        <v>6402</v>
      </c>
      <c r="C181" s="557">
        <v>2223</v>
      </c>
      <c r="D181" s="525" t="s">
        <v>217</v>
      </c>
      <c r="E181" s="144" t="s">
        <v>288</v>
      </c>
      <c r="F181" s="158"/>
      <c r="G181" s="159">
        <v>8</v>
      </c>
      <c r="H181" s="158">
        <v>143</v>
      </c>
      <c r="I181" s="16">
        <f t="shared" si="27"/>
        <v>1787.5</v>
      </c>
      <c r="K181" s="137"/>
      <c r="L181" s="137"/>
      <c r="M181" s="137"/>
      <c r="N181" s="285"/>
    </row>
    <row r="182" spans="1:14" s="35" customFormat="1" ht="15" x14ac:dyDescent="0.25">
      <c r="A182" s="83" t="s">
        <v>61</v>
      </c>
      <c r="B182" s="96">
        <v>6402</v>
      </c>
      <c r="C182" s="42">
        <v>2229</v>
      </c>
      <c r="D182" s="525" t="s">
        <v>217</v>
      </c>
      <c r="E182" s="55" t="s">
        <v>29</v>
      </c>
      <c r="F182" s="158"/>
      <c r="G182" s="159">
        <v>1624</v>
      </c>
      <c r="H182" s="158">
        <v>1634</v>
      </c>
      <c r="I182" s="16">
        <f t="shared" si="27"/>
        <v>100.61576354679802</v>
      </c>
      <c r="K182" s="137"/>
      <c r="L182" s="137"/>
      <c r="M182" s="137"/>
      <c r="N182" s="285"/>
    </row>
    <row r="183" spans="1:14" s="35" customFormat="1" ht="15" x14ac:dyDescent="0.25">
      <c r="A183" s="83" t="s">
        <v>61</v>
      </c>
      <c r="B183" s="96">
        <v>6409</v>
      </c>
      <c r="C183" s="42">
        <v>2329</v>
      </c>
      <c r="D183" s="525"/>
      <c r="E183" s="55" t="s">
        <v>336</v>
      </c>
      <c r="F183" s="158"/>
      <c r="G183" s="159">
        <v>670</v>
      </c>
      <c r="H183" s="158">
        <v>670</v>
      </c>
      <c r="I183" s="16">
        <f t="shared" si="27"/>
        <v>100</v>
      </c>
      <c r="K183" s="137"/>
      <c r="L183" s="137"/>
      <c r="M183" s="137"/>
      <c r="N183" s="285"/>
    </row>
    <row r="184" spans="1:14" s="35" customFormat="1" ht="15" hidden="1" x14ac:dyDescent="0.25">
      <c r="A184" s="83" t="s">
        <v>61</v>
      </c>
      <c r="B184" s="96">
        <v>6409</v>
      </c>
      <c r="C184" s="42">
        <v>2229</v>
      </c>
      <c r="D184" s="525" t="s">
        <v>264</v>
      </c>
      <c r="E184" s="55" t="s">
        <v>29</v>
      </c>
      <c r="F184" s="158"/>
      <c r="G184" s="187"/>
      <c r="H184" s="158"/>
      <c r="I184" s="56" t="e">
        <f>(H184/G184)*100</f>
        <v>#DIV/0!</v>
      </c>
      <c r="K184" s="137"/>
      <c r="L184" s="137"/>
      <c r="M184" s="137"/>
      <c r="N184" s="285"/>
    </row>
    <row r="185" spans="1:14" s="431" customFormat="1" ht="15" customHeight="1" thickBot="1" x14ac:dyDescent="0.25">
      <c r="A185" s="271" t="s">
        <v>61</v>
      </c>
      <c r="B185" s="272"/>
      <c r="C185" s="273"/>
      <c r="D185" s="274"/>
      <c r="E185" s="275" t="s">
        <v>81</v>
      </c>
      <c r="F185" s="318">
        <f>F125+F126+F169+F175+F177+F179+F180+F182+F183+F184+F174+F178+F181</f>
        <v>50</v>
      </c>
      <c r="G185" s="318">
        <f t="shared" ref="G185:H185" si="29">G125+G126+G169+G175+G177+G179+G180+G182+G183+G184+G174+G178+G181</f>
        <v>6427350</v>
      </c>
      <c r="H185" s="318">
        <f t="shared" si="29"/>
        <v>6427648</v>
      </c>
      <c r="I185" s="276">
        <f>(H185/G185)*100</f>
        <v>100.00463643647848</v>
      </c>
      <c r="K185" s="432">
        <v>50000</v>
      </c>
      <c r="L185" s="432">
        <v>6427350251.0500002</v>
      </c>
      <c r="M185" s="432">
        <v>6427647343.0500002</v>
      </c>
      <c r="N185" s="433"/>
    </row>
    <row r="186" spans="1:14" s="140" customFormat="1" ht="15" thickTop="1" x14ac:dyDescent="0.2">
      <c r="A186" s="434"/>
      <c r="B186" s="435"/>
      <c r="C186" s="436"/>
      <c r="D186" s="437"/>
      <c r="E186" s="438"/>
      <c r="F186" s="439">
        <f>SUM(F185,F124,F112)</f>
        <v>8775</v>
      </c>
      <c r="G186" s="439">
        <f t="shared" ref="G186" si="30">SUM(G185,G124,G112)</f>
        <v>6436295</v>
      </c>
      <c r="H186" s="439">
        <f>SUM(H185,H124,H112)</f>
        <v>6432570</v>
      </c>
      <c r="I186" s="639"/>
      <c r="K186" s="350">
        <f>K185+K124+K112+K98</f>
        <v>4240920800</v>
      </c>
      <c r="L186" s="350">
        <f>L185+L124+L112+L98</f>
        <v>11879558667.360001</v>
      </c>
      <c r="M186" s="350">
        <f>M185+M124+M112+M98</f>
        <v>25063741186.910004</v>
      </c>
      <c r="N186" s="308"/>
    </row>
    <row r="187" spans="1:14" s="140" customFormat="1" x14ac:dyDescent="0.2">
      <c r="A187" s="434"/>
      <c r="B187" s="435"/>
      <c r="C187" s="436"/>
      <c r="D187" s="437"/>
      <c r="E187" s="438"/>
      <c r="F187" s="439"/>
      <c r="G187" s="439"/>
      <c r="H187" s="439"/>
      <c r="I187" s="639"/>
      <c r="K187" s="350"/>
      <c r="L187" s="350"/>
      <c r="M187" s="350"/>
      <c r="N187" s="308"/>
    </row>
    <row r="188" spans="1:14" s="140" customFormat="1" x14ac:dyDescent="0.2">
      <c r="A188" s="434"/>
      <c r="B188" s="435"/>
      <c r="C188" s="436"/>
      <c r="D188" s="437"/>
      <c r="E188" s="438"/>
      <c r="F188" s="439"/>
      <c r="G188" s="439"/>
      <c r="H188" s="439"/>
      <c r="I188" s="440"/>
      <c r="K188" s="350"/>
      <c r="L188" s="350"/>
      <c r="M188" s="350"/>
      <c r="N188" s="308"/>
    </row>
    <row r="189" spans="1:14" s="140" customFormat="1" x14ac:dyDescent="0.2">
      <c r="A189" s="434"/>
      <c r="B189" s="435"/>
      <c r="C189" s="436"/>
      <c r="D189" s="437"/>
      <c r="E189" s="438"/>
      <c r="F189" s="439"/>
      <c r="G189" s="439"/>
      <c r="H189" s="439"/>
      <c r="I189" s="440"/>
      <c r="K189" s="350"/>
      <c r="L189" s="350"/>
      <c r="M189" s="350"/>
      <c r="N189" s="308"/>
    </row>
    <row r="190" spans="1:14" s="140" customFormat="1" x14ac:dyDescent="0.2">
      <c r="A190" s="434"/>
      <c r="B190" s="435"/>
      <c r="C190" s="436"/>
      <c r="D190" s="437"/>
      <c r="E190" s="438"/>
      <c r="F190" s="439"/>
      <c r="G190" s="439"/>
      <c r="H190" s="439"/>
      <c r="I190" s="440"/>
      <c r="K190" s="350"/>
      <c r="L190" s="350"/>
      <c r="M190" s="350"/>
      <c r="N190" s="308"/>
    </row>
    <row r="191" spans="1:14" s="140" customFormat="1" x14ac:dyDescent="0.2">
      <c r="A191" s="434"/>
      <c r="B191" s="435"/>
      <c r="C191" s="436"/>
      <c r="D191" s="437"/>
      <c r="E191" s="438"/>
      <c r="F191" s="439"/>
      <c r="G191" s="439"/>
      <c r="H191" s="439"/>
      <c r="I191" s="440"/>
      <c r="K191" s="350"/>
      <c r="L191" s="350"/>
      <c r="M191" s="350"/>
      <c r="N191" s="308"/>
    </row>
    <row r="192" spans="1:14" ht="13.5" customHeight="1" thickBot="1" x14ac:dyDescent="0.25">
      <c r="A192" s="85"/>
      <c r="I192" s="30" t="s">
        <v>0</v>
      </c>
    </row>
    <row r="193" spans="1:14" s="35" customFormat="1" ht="24.95" customHeight="1" thickTop="1" thickBot="1" x14ac:dyDescent="0.25">
      <c r="A193" s="504" t="s">
        <v>53</v>
      </c>
      <c r="B193" s="66" t="s">
        <v>10</v>
      </c>
      <c r="C193" s="31" t="s">
        <v>2</v>
      </c>
      <c r="D193" s="344" t="s">
        <v>310</v>
      </c>
      <c r="E193" s="32" t="s">
        <v>3</v>
      </c>
      <c r="F193" s="511" t="s">
        <v>291</v>
      </c>
      <c r="G193" s="511" t="s">
        <v>292</v>
      </c>
      <c r="H193" s="33" t="s">
        <v>14</v>
      </c>
      <c r="I193" s="34" t="s">
        <v>15</v>
      </c>
      <c r="K193" s="137"/>
      <c r="L193" s="137"/>
      <c r="M193" s="137"/>
      <c r="N193" s="285"/>
    </row>
    <row r="194" spans="1:14" s="36" customFormat="1" ht="12.75" thickTop="1" x14ac:dyDescent="0.2">
      <c r="A194" s="80">
        <v>1</v>
      </c>
      <c r="B194" s="75">
        <v>2</v>
      </c>
      <c r="C194" s="76">
        <v>3</v>
      </c>
      <c r="D194" s="75">
        <v>4</v>
      </c>
      <c r="E194" s="76">
        <v>5</v>
      </c>
      <c r="F194" s="75">
        <v>6</v>
      </c>
      <c r="G194" s="77">
        <v>7</v>
      </c>
      <c r="H194" s="78">
        <v>8</v>
      </c>
      <c r="I194" s="79" t="s">
        <v>54</v>
      </c>
      <c r="J194" s="35"/>
      <c r="K194" s="184"/>
      <c r="L194" s="184"/>
      <c r="M194" s="184"/>
      <c r="N194" s="286"/>
    </row>
    <row r="195" spans="1:14" s="140" customFormat="1" ht="15" hidden="1" x14ac:dyDescent="0.25">
      <c r="A195" s="141" t="s">
        <v>62</v>
      </c>
      <c r="B195" s="265"/>
      <c r="C195" s="42">
        <v>4116</v>
      </c>
      <c r="D195" s="43"/>
      <c r="E195" s="46" t="s">
        <v>186</v>
      </c>
      <c r="F195" s="158">
        <v>0</v>
      </c>
      <c r="G195" s="371">
        <f>G196+G197</f>
        <v>0</v>
      </c>
      <c r="H195" s="371">
        <f>H196+H197</f>
        <v>0</v>
      </c>
      <c r="I195" s="16" t="e">
        <f t="shared" ref="I195" si="31">(H195/G195)*100</f>
        <v>#DIV/0!</v>
      </c>
      <c r="K195" s="192"/>
      <c r="L195" s="192"/>
      <c r="M195" s="192"/>
      <c r="N195" s="308"/>
    </row>
    <row r="196" spans="1:14" s="140" customFormat="1" hidden="1" x14ac:dyDescent="0.2">
      <c r="A196" s="141" t="s">
        <v>62</v>
      </c>
      <c r="B196" s="265"/>
      <c r="C196" s="42"/>
      <c r="D196" s="526" t="s">
        <v>231</v>
      </c>
      <c r="E196" s="234" t="s">
        <v>280</v>
      </c>
      <c r="F196" s="455"/>
      <c r="G196" s="456"/>
      <c r="H196" s="455"/>
      <c r="I196" s="454" t="e">
        <f t="shared" ref="I196:I200" si="32">(H196/G196)*100</f>
        <v>#DIV/0!</v>
      </c>
      <c r="K196" s="192"/>
      <c r="L196" s="192"/>
      <c r="M196" s="192"/>
      <c r="N196" s="308"/>
    </row>
    <row r="197" spans="1:14" s="140" customFormat="1" hidden="1" x14ac:dyDescent="0.2">
      <c r="A197" s="141" t="s">
        <v>62</v>
      </c>
      <c r="B197" s="265"/>
      <c r="C197" s="149"/>
      <c r="D197" s="526" t="s">
        <v>232</v>
      </c>
      <c r="E197" s="234" t="s">
        <v>280</v>
      </c>
      <c r="F197" s="455"/>
      <c r="G197" s="456"/>
      <c r="H197" s="455"/>
      <c r="I197" s="454" t="e">
        <f t="shared" si="32"/>
        <v>#DIV/0!</v>
      </c>
      <c r="K197" s="192"/>
      <c r="L197" s="192"/>
      <c r="M197" s="192"/>
      <c r="N197" s="308"/>
    </row>
    <row r="198" spans="1:14" s="140" customFormat="1" ht="15" x14ac:dyDescent="0.25">
      <c r="A198" s="141" t="s">
        <v>62</v>
      </c>
      <c r="B198" s="269">
        <v>6172</v>
      </c>
      <c r="C198" s="142">
        <v>2212</v>
      </c>
      <c r="D198" s="44"/>
      <c r="E198" s="53" t="s">
        <v>85</v>
      </c>
      <c r="F198" s="158"/>
      <c r="G198" s="159"/>
      <c r="H198" s="158">
        <v>32</v>
      </c>
      <c r="I198" s="16">
        <v>0</v>
      </c>
      <c r="K198" s="192"/>
      <c r="L198" s="192"/>
      <c r="M198" s="192"/>
      <c r="N198" s="308"/>
    </row>
    <row r="199" spans="1:14" s="140" customFormat="1" ht="15" x14ac:dyDescent="0.25">
      <c r="A199" s="141" t="s">
        <v>62</v>
      </c>
      <c r="B199" s="269">
        <v>6172</v>
      </c>
      <c r="C199" s="142">
        <v>2324</v>
      </c>
      <c r="D199" s="44"/>
      <c r="E199" s="53" t="s">
        <v>18</v>
      </c>
      <c r="F199" s="158"/>
      <c r="G199" s="159"/>
      <c r="H199" s="158">
        <v>10</v>
      </c>
      <c r="I199" s="16">
        <v>0</v>
      </c>
      <c r="K199" s="192"/>
      <c r="L199" s="192"/>
      <c r="M199" s="192"/>
      <c r="N199" s="308"/>
    </row>
    <row r="200" spans="1:14" s="140" customFormat="1" ht="15" x14ac:dyDescent="0.25">
      <c r="A200" s="141" t="s">
        <v>62</v>
      </c>
      <c r="B200" s="269">
        <v>6402</v>
      </c>
      <c r="C200" s="142">
        <v>2223</v>
      </c>
      <c r="D200" s="526" t="s">
        <v>217</v>
      </c>
      <c r="E200" s="54" t="s">
        <v>288</v>
      </c>
      <c r="F200" s="158"/>
      <c r="G200" s="159">
        <v>492</v>
      </c>
      <c r="H200" s="158">
        <v>492</v>
      </c>
      <c r="I200" s="16">
        <f t="shared" si="32"/>
        <v>100</v>
      </c>
      <c r="K200" s="192"/>
      <c r="L200" s="192"/>
      <c r="M200" s="192"/>
      <c r="N200" s="308"/>
    </row>
    <row r="201" spans="1:14" s="35" customFormat="1" ht="15" x14ac:dyDescent="0.25">
      <c r="A201" s="83" t="s">
        <v>62</v>
      </c>
      <c r="B201" s="94">
        <v>6402</v>
      </c>
      <c r="C201" s="42">
        <v>2229</v>
      </c>
      <c r="D201" s="526" t="s">
        <v>217</v>
      </c>
      <c r="E201" s="55" t="s">
        <v>29</v>
      </c>
      <c r="F201" s="158"/>
      <c r="G201" s="159">
        <v>1502</v>
      </c>
      <c r="H201" s="190">
        <v>1502</v>
      </c>
      <c r="I201" s="56">
        <f t="shared" ref="I201:I215" si="33">(H201/G201)*100</f>
        <v>100</v>
      </c>
      <c r="K201" s="137"/>
      <c r="L201" s="137"/>
      <c r="M201" s="137"/>
      <c r="N201" s="285"/>
    </row>
    <row r="202" spans="1:14" s="35" customFormat="1" ht="15" hidden="1" x14ac:dyDescent="0.25">
      <c r="A202" s="83" t="s">
        <v>62</v>
      </c>
      <c r="B202" s="94">
        <v>6409</v>
      </c>
      <c r="C202" s="42">
        <v>2229</v>
      </c>
      <c r="D202" s="526" t="s">
        <v>217</v>
      </c>
      <c r="E202" s="55" t="s">
        <v>29</v>
      </c>
      <c r="F202" s="158"/>
      <c r="G202" s="159"/>
      <c r="H202" s="190"/>
      <c r="I202" s="56">
        <v>0</v>
      </c>
      <c r="K202" s="137"/>
      <c r="L202" s="137"/>
      <c r="M202" s="137"/>
      <c r="N202" s="285"/>
    </row>
    <row r="203" spans="1:14" s="104" customFormat="1" ht="15" customHeight="1" x14ac:dyDescent="0.2">
      <c r="A203" s="313" t="s">
        <v>62</v>
      </c>
      <c r="B203" s="106"/>
      <c r="C203" s="109"/>
      <c r="D203" s="111"/>
      <c r="E203" s="102" t="s">
        <v>81</v>
      </c>
      <c r="F203" s="310">
        <f>F195+F201+F200+F198+F202+F199</f>
        <v>0</v>
      </c>
      <c r="G203" s="310">
        <f t="shared" ref="G203:H203" si="34">G195+G201+G200+G198+G202+G199</f>
        <v>1994</v>
      </c>
      <c r="H203" s="310">
        <f t="shared" si="34"/>
        <v>2036</v>
      </c>
      <c r="I203" s="110">
        <f t="shared" si="33"/>
        <v>102.10631895687061</v>
      </c>
      <c r="K203" s="370">
        <v>0</v>
      </c>
      <c r="L203" s="370">
        <v>1993850.21</v>
      </c>
      <c r="M203" s="370">
        <v>2036100.21</v>
      </c>
      <c r="N203" s="307"/>
    </row>
    <row r="204" spans="1:14" s="35" customFormat="1" ht="15" x14ac:dyDescent="0.25">
      <c r="A204" s="83" t="s">
        <v>63</v>
      </c>
      <c r="B204" s="94"/>
      <c r="C204" s="42">
        <v>1361</v>
      </c>
      <c r="D204" s="49"/>
      <c r="E204" s="55" t="s">
        <v>1</v>
      </c>
      <c r="F204" s="158">
        <v>400</v>
      </c>
      <c r="G204" s="159">
        <v>400</v>
      </c>
      <c r="H204" s="190">
        <v>428</v>
      </c>
      <c r="I204" s="67">
        <f t="shared" si="33"/>
        <v>107</v>
      </c>
      <c r="K204" s="137"/>
      <c r="L204" s="137"/>
      <c r="M204" s="137"/>
      <c r="N204" s="285"/>
    </row>
    <row r="205" spans="1:14" s="35" customFormat="1" ht="15" hidden="1" x14ac:dyDescent="0.25">
      <c r="A205" s="83" t="s">
        <v>63</v>
      </c>
      <c r="B205" s="94">
        <v>2221</v>
      </c>
      <c r="C205" s="42">
        <v>2123</v>
      </c>
      <c r="D205" s="49"/>
      <c r="E205" s="55" t="s">
        <v>141</v>
      </c>
      <c r="F205" s="158"/>
      <c r="G205" s="159"/>
      <c r="H205" s="190"/>
      <c r="I205" s="67">
        <v>0</v>
      </c>
      <c r="K205" s="137"/>
      <c r="L205" s="137"/>
      <c r="M205" s="137"/>
      <c r="N205" s="285"/>
    </row>
    <row r="206" spans="1:14" s="35" customFormat="1" ht="15" hidden="1" x14ac:dyDescent="0.25">
      <c r="A206" s="83" t="s">
        <v>63</v>
      </c>
      <c r="B206" s="94">
        <v>2221</v>
      </c>
      <c r="C206" s="42">
        <v>2324</v>
      </c>
      <c r="D206" s="49"/>
      <c r="E206" s="144" t="s">
        <v>18</v>
      </c>
      <c r="F206" s="158"/>
      <c r="G206" s="159"/>
      <c r="H206" s="190"/>
      <c r="I206" s="67">
        <v>0</v>
      </c>
      <c r="K206" s="137"/>
      <c r="L206" s="137"/>
      <c r="M206" s="137"/>
      <c r="N206" s="285"/>
    </row>
    <row r="207" spans="1:14" s="35" customFormat="1" ht="15" x14ac:dyDescent="0.25">
      <c r="A207" s="83" t="s">
        <v>63</v>
      </c>
      <c r="B207" s="94">
        <v>2223</v>
      </c>
      <c r="C207" s="42">
        <v>2324</v>
      </c>
      <c r="D207" s="49"/>
      <c r="E207" s="144" t="s">
        <v>18</v>
      </c>
      <c r="F207" s="158"/>
      <c r="G207" s="159"/>
      <c r="H207" s="190">
        <v>50</v>
      </c>
      <c r="I207" s="67">
        <v>0</v>
      </c>
      <c r="K207" s="137"/>
      <c r="L207" s="137"/>
      <c r="M207" s="137"/>
      <c r="N207" s="285"/>
    </row>
    <row r="208" spans="1:14" s="35" customFormat="1" ht="15" x14ac:dyDescent="0.25">
      <c r="A208" s="83" t="s">
        <v>63</v>
      </c>
      <c r="B208" s="94">
        <v>6172</v>
      </c>
      <c r="C208" s="557">
        <v>2122</v>
      </c>
      <c r="D208" s="49"/>
      <c r="E208" s="144" t="s">
        <v>272</v>
      </c>
      <c r="F208" s="158"/>
      <c r="G208" s="159">
        <v>32501</v>
      </c>
      <c r="H208" s="190">
        <v>32501</v>
      </c>
      <c r="I208" s="67">
        <v>0</v>
      </c>
      <c r="K208" s="137"/>
      <c r="L208" s="137"/>
      <c r="M208" s="137"/>
      <c r="N208" s="285"/>
    </row>
    <row r="209" spans="1:14" s="35" customFormat="1" ht="15" x14ac:dyDescent="0.25">
      <c r="A209" s="83" t="s">
        <v>63</v>
      </c>
      <c r="B209" s="94">
        <v>6172</v>
      </c>
      <c r="C209" s="42">
        <v>2211</v>
      </c>
      <c r="D209" s="49"/>
      <c r="E209" s="132" t="s">
        <v>84</v>
      </c>
      <c r="F209" s="158">
        <v>250</v>
      </c>
      <c r="G209" s="159">
        <v>250</v>
      </c>
      <c r="H209" s="190">
        <v>812</v>
      </c>
      <c r="I209" s="67">
        <f t="shared" si="33"/>
        <v>324.8</v>
      </c>
      <c r="K209" s="137"/>
      <c r="L209" s="137"/>
      <c r="M209" s="137"/>
      <c r="N209" s="285"/>
    </row>
    <row r="210" spans="1:14" s="35" customFormat="1" ht="15" x14ac:dyDescent="0.25">
      <c r="A210" s="83" t="s">
        <v>63</v>
      </c>
      <c r="B210" s="94">
        <v>6172</v>
      </c>
      <c r="C210" s="42">
        <v>2212</v>
      </c>
      <c r="D210" s="49"/>
      <c r="E210" s="144" t="s">
        <v>85</v>
      </c>
      <c r="F210" s="158">
        <v>2000</v>
      </c>
      <c r="G210" s="159">
        <v>2000</v>
      </c>
      <c r="H210" s="190">
        <v>2337</v>
      </c>
      <c r="I210" s="67">
        <f t="shared" si="33"/>
        <v>116.85000000000001</v>
      </c>
      <c r="K210" s="137"/>
      <c r="L210" s="137"/>
      <c r="M210" s="137"/>
      <c r="N210" s="285"/>
    </row>
    <row r="211" spans="1:14" s="35" customFormat="1" ht="15" hidden="1" x14ac:dyDescent="0.25">
      <c r="A211" s="83" t="s">
        <v>63</v>
      </c>
      <c r="B211" s="94">
        <v>6172</v>
      </c>
      <c r="C211" s="42">
        <v>2229</v>
      </c>
      <c r="D211" s="49"/>
      <c r="E211" s="144" t="s">
        <v>29</v>
      </c>
      <c r="F211" s="158"/>
      <c r="G211" s="159"/>
      <c r="H211" s="190"/>
      <c r="I211" s="67">
        <v>0</v>
      </c>
      <c r="K211" s="137"/>
      <c r="L211" s="137"/>
      <c r="M211" s="137"/>
      <c r="N211" s="285"/>
    </row>
    <row r="212" spans="1:14" s="35" customFormat="1" ht="15" x14ac:dyDescent="0.25">
      <c r="A212" s="83" t="s">
        <v>63</v>
      </c>
      <c r="B212" s="94">
        <v>6172</v>
      </c>
      <c r="C212" s="42">
        <v>2324</v>
      </c>
      <c r="D212" s="49"/>
      <c r="E212" s="144" t="s">
        <v>18</v>
      </c>
      <c r="F212" s="158">
        <v>250</v>
      </c>
      <c r="G212" s="159">
        <v>250</v>
      </c>
      <c r="H212" s="190">
        <v>889</v>
      </c>
      <c r="I212" s="67">
        <f t="shared" si="33"/>
        <v>355.6</v>
      </c>
      <c r="K212" s="137"/>
      <c r="L212" s="137"/>
      <c r="M212" s="137"/>
      <c r="N212" s="285"/>
    </row>
    <row r="213" spans="1:14" s="35" customFormat="1" ht="15" x14ac:dyDescent="0.25">
      <c r="A213" s="83" t="s">
        <v>63</v>
      </c>
      <c r="B213" s="94">
        <v>6402</v>
      </c>
      <c r="C213" s="42">
        <v>2223</v>
      </c>
      <c r="D213" s="525" t="s">
        <v>217</v>
      </c>
      <c r="E213" s="54" t="s">
        <v>288</v>
      </c>
      <c r="F213" s="158"/>
      <c r="G213" s="159">
        <v>3701</v>
      </c>
      <c r="H213" s="190">
        <v>4125</v>
      </c>
      <c r="I213" s="67">
        <f t="shared" si="33"/>
        <v>111.45636314509592</v>
      </c>
      <c r="K213" s="137"/>
      <c r="L213" s="137"/>
      <c r="M213" s="137"/>
      <c r="N213" s="285"/>
    </row>
    <row r="214" spans="1:14" s="35" customFormat="1" ht="15" x14ac:dyDescent="0.25">
      <c r="A214" s="83" t="s">
        <v>63</v>
      </c>
      <c r="B214" s="94">
        <v>6402</v>
      </c>
      <c r="C214" s="42">
        <v>2229</v>
      </c>
      <c r="D214" s="525" t="s">
        <v>217</v>
      </c>
      <c r="E214" s="52" t="s">
        <v>29</v>
      </c>
      <c r="F214" s="155"/>
      <c r="G214" s="159"/>
      <c r="H214" s="190">
        <v>339</v>
      </c>
      <c r="I214" s="67">
        <v>0</v>
      </c>
      <c r="K214" s="137"/>
      <c r="L214" s="137"/>
      <c r="M214" s="137"/>
      <c r="N214" s="285"/>
    </row>
    <row r="215" spans="1:14" s="104" customFormat="1" ht="15" customHeight="1" x14ac:dyDescent="0.2">
      <c r="A215" s="313" t="s">
        <v>63</v>
      </c>
      <c r="B215" s="106"/>
      <c r="C215" s="109"/>
      <c r="D215" s="111"/>
      <c r="E215" s="102" t="s">
        <v>81</v>
      </c>
      <c r="F215" s="306">
        <f>F204+F210+F206+F212+F207+F209+F211+F213+F214+F208</f>
        <v>2900</v>
      </c>
      <c r="G215" s="306">
        <f t="shared" ref="G215:H215" si="35">G204+G210+G206+G212+G207+G209+G211+G213+G214+G208</f>
        <v>39102</v>
      </c>
      <c r="H215" s="306">
        <f t="shared" si="35"/>
        <v>41481</v>
      </c>
      <c r="I215" s="110">
        <f t="shared" si="33"/>
        <v>106.08408777044653</v>
      </c>
      <c r="K215" s="370">
        <v>2900000</v>
      </c>
      <c r="L215" s="509">
        <v>39101489.729999997</v>
      </c>
      <c r="M215" s="370">
        <v>41480656.409999996</v>
      </c>
      <c r="N215" s="307"/>
    </row>
    <row r="216" spans="1:14" s="35" customFormat="1" ht="15" hidden="1" x14ac:dyDescent="0.25">
      <c r="A216" s="83" t="s">
        <v>64</v>
      </c>
      <c r="B216" s="94">
        <v>6172</v>
      </c>
      <c r="C216" s="42">
        <v>2132</v>
      </c>
      <c r="D216" s="49"/>
      <c r="E216" s="53" t="s">
        <v>34</v>
      </c>
      <c r="F216" s="155"/>
      <c r="G216" s="195"/>
      <c r="H216" s="196"/>
      <c r="I216" s="67" t="e">
        <f>(H216/G216)*100</f>
        <v>#DIV/0!</v>
      </c>
      <c r="K216" s="137"/>
      <c r="L216" s="137"/>
      <c r="M216" s="137"/>
      <c r="N216" s="285"/>
    </row>
    <row r="217" spans="1:14" s="35" customFormat="1" ht="15" hidden="1" x14ac:dyDescent="0.25">
      <c r="A217" s="83" t="s">
        <v>64</v>
      </c>
      <c r="B217" s="94">
        <v>6172</v>
      </c>
      <c r="C217" s="42">
        <v>2211</v>
      </c>
      <c r="D217" s="49"/>
      <c r="E217" s="132" t="s">
        <v>84</v>
      </c>
      <c r="F217" s="155"/>
      <c r="G217" s="195"/>
      <c r="H217" s="196"/>
      <c r="I217" s="67">
        <v>0</v>
      </c>
      <c r="K217" s="137"/>
      <c r="L217" s="137"/>
      <c r="M217" s="137"/>
      <c r="N217" s="285"/>
    </row>
    <row r="218" spans="1:14" s="35" customFormat="1" ht="15" hidden="1" x14ac:dyDescent="0.25">
      <c r="A218" s="83" t="s">
        <v>64</v>
      </c>
      <c r="B218" s="94">
        <v>6172</v>
      </c>
      <c r="C218" s="42">
        <v>2212</v>
      </c>
      <c r="D218" s="49"/>
      <c r="E218" s="52" t="s">
        <v>85</v>
      </c>
      <c r="F218" s="155"/>
      <c r="G218" s="195"/>
      <c r="H218" s="196"/>
      <c r="I218" s="67">
        <v>0</v>
      </c>
      <c r="K218" s="137"/>
      <c r="L218" s="137"/>
      <c r="M218" s="137"/>
      <c r="N218" s="285"/>
    </row>
    <row r="219" spans="1:14" s="35" customFormat="1" ht="15" hidden="1" x14ac:dyDescent="0.25">
      <c r="A219" s="83" t="s">
        <v>64</v>
      </c>
      <c r="B219" s="94">
        <v>6172</v>
      </c>
      <c r="C219" s="42">
        <v>2324</v>
      </c>
      <c r="D219" s="49"/>
      <c r="E219" s="144" t="s">
        <v>18</v>
      </c>
      <c r="F219" s="155"/>
      <c r="G219" s="195"/>
      <c r="H219" s="196"/>
      <c r="I219" s="67">
        <v>0</v>
      </c>
      <c r="K219" s="137"/>
      <c r="L219" s="137"/>
      <c r="M219" s="137"/>
      <c r="N219" s="285"/>
    </row>
    <row r="220" spans="1:14" s="35" customFormat="1" ht="15" hidden="1" x14ac:dyDescent="0.25">
      <c r="A220" s="83" t="s">
        <v>64</v>
      </c>
      <c r="B220" s="94">
        <v>6402</v>
      </c>
      <c r="C220" s="42">
        <v>2223</v>
      </c>
      <c r="D220" s="525" t="s">
        <v>217</v>
      </c>
      <c r="E220" s="54" t="s">
        <v>288</v>
      </c>
      <c r="F220" s="155"/>
      <c r="G220" s="195"/>
      <c r="H220" s="196"/>
      <c r="I220" s="67" t="e">
        <f t="shared" ref="I220:I235" si="36">(H220/G220)*100</f>
        <v>#DIV/0!</v>
      </c>
      <c r="K220" s="137"/>
      <c r="L220" s="137"/>
      <c r="M220" s="137"/>
      <c r="N220" s="285"/>
    </row>
    <row r="221" spans="1:14" s="35" customFormat="1" ht="15" hidden="1" x14ac:dyDescent="0.25">
      <c r="A221" s="83" t="s">
        <v>64</v>
      </c>
      <c r="B221" s="94">
        <v>6402</v>
      </c>
      <c r="C221" s="42">
        <v>2229</v>
      </c>
      <c r="D221" s="525" t="s">
        <v>217</v>
      </c>
      <c r="E221" s="46" t="s">
        <v>29</v>
      </c>
      <c r="F221" s="155"/>
      <c r="G221" s="195"/>
      <c r="H221" s="196"/>
      <c r="I221" s="67" t="e">
        <f t="shared" si="36"/>
        <v>#DIV/0!</v>
      </c>
      <c r="K221" s="137"/>
      <c r="L221" s="137"/>
      <c r="M221" s="137"/>
      <c r="N221" s="285"/>
    </row>
    <row r="222" spans="1:14" s="104" customFormat="1" ht="15" hidden="1" customHeight="1" x14ac:dyDescent="0.2">
      <c r="A222" s="313" t="s">
        <v>64</v>
      </c>
      <c r="B222" s="106"/>
      <c r="C222" s="109"/>
      <c r="D222" s="111"/>
      <c r="E222" s="102" t="s">
        <v>81</v>
      </c>
      <c r="F222" s="306">
        <f>F216+F217+F218+F219+F220+F221</f>
        <v>0</v>
      </c>
      <c r="G222" s="306">
        <f t="shared" ref="G222:H222" si="37">G216+G217+G218+G219+G220+G221</f>
        <v>0</v>
      </c>
      <c r="H222" s="306">
        <f t="shared" si="37"/>
        <v>0</v>
      </c>
      <c r="I222" s="110" t="e">
        <f t="shared" si="36"/>
        <v>#DIV/0!</v>
      </c>
      <c r="K222" s="370"/>
      <c r="L222" s="370"/>
      <c r="M222" s="370"/>
      <c r="N222" s="307"/>
    </row>
    <row r="223" spans="1:14" s="35" customFormat="1" ht="15" x14ac:dyDescent="0.25">
      <c r="A223" s="83" t="s">
        <v>65</v>
      </c>
      <c r="B223" s="94"/>
      <c r="C223" s="42">
        <v>1361</v>
      </c>
      <c r="D223" s="49"/>
      <c r="E223" s="55" t="s">
        <v>1</v>
      </c>
      <c r="F223" s="155">
        <v>120</v>
      </c>
      <c r="G223" s="195">
        <v>120</v>
      </c>
      <c r="H223" s="196">
        <v>171</v>
      </c>
      <c r="I223" s="67">
        <f t="shared" si="36"/>
        <v>142.5</v>
      </c>
      <c r="K223" s="137"/>
      <c r="L223" s="137"/>
      <c r="M223" s="137"/>
      <c r="N223" s="285"/>
    </row>
    <row r="224" spans="1:14" s="35" customFormat="1" ht="15" x14ac:dyDescent="0.25">
      <c r="A224" s="83" t="s">
        <v>65</v>
      </c>
      <c r="B224" s="94"/>
      <c r="C224" s="557">
        <v>4116</v>
      </c>
      <c r="D224" s="49"/>
      <c r="E224" s="46" t="s">
        <v>186</v>
      </c>
      <c r="F224" s="155">
        <f>F225+F226</f>
        <v>0</v>
      </c>
      <c r="G224" s="155">
        <f t="shared" ref="G224:H224" si="38">G225+G226</f>
        <v>1718</v>
      </c>
      <c r="H224" s="155">
        <f t="shared" si="38"/>
        <v>1718</v>
      </c>
      <c r="I224" s="67">
        <f t="shared" si="36"/>
        <v>100</v>
      </c>
      <c r="K224" s="137"/>
      <c r="L224" s="137"/>
      <c r="M224" s="137"/>
      <c r="N224" s="285"/>
    </row>
    <row r="225" spans="1:14" s="35" customFormat="1" ht="25.5" x14ac:dyDescent="0.2">
      <c r="A225" s="83"/>
      <c r="B225" s="94"/>
      <c r="C225" s="557"/>
      <c r="D225" s="49" t="s">
        <v>229</v>
      </c>
      <c r="E225" s="567" t="s">
        <v>353</v>
      </c>
      <c r="F225" s="455"/>
      <c r="G225" s="486">
        <v>258</v>
      </c>
      <c r="H225" s="487">
        <v>258</v>
      </c>
      <c r="I225" s="550">
        <f t="shared" si="36"/>
        <v>100</v>
      </c>
      <c r="K225" s="137"/>
      <c r="L225" s="137"/>
      <c r="M225" s="137"/>
      <c r="N225" s="285"/>
    </row>
    <row r="226" spans="1:14" s="35" customFormat="1" ht="25.5" x14ac:dyDescent="0.2">
      <c r="A226" s="83"/>
      <c r="B226" s="94"/>
      <c r="C226" s="557"/>
      <c r="D226" s="49" t="s">
        <v>230</v>
      </c>
      <c r="E226" s="567" t="s">
        <v>290</v>
      </c>
      <c r="F226" s="455"/>
      <c r="G226" s="486">
        <v>1460</v>
      </c>
      <c r="H226" s="487">
        <v>1460</v>
      </c>
      <c r="I226" s="550">
        <f t="shared" si="36"/>
        <v>100</v>
      </c>
      <c r="K226" s="137"/>
      <c r="L226" s="137"/>
      <c r="M226" s="137"/>
      <c r="N226" s="285"/>
    </row>
    <row r="227" spans="1:14" s="35" customFormat="1" ht="15" x14ac:dyDescent="0.25">
      <c r="A227" s="83" t="s">
        <v>65</v>
      </c>
      <c r="B227" s="94"/>
      <c r="C227" s="557">
        <v>4216</v>
      </c>
      <c r="D227" s="49"/>
      <c r="E227" s="55" t="s">
        <v>352</v>
      </c>
      <c r="F227" s="158">
        <f>F228+F229</f>
        <v>0</v>
      </c>
      <c r="G227" s="158">
        <f t="shared" ref="G227:H227" si="39">G228+G229</f>
        <v>26665</v>
      </c>
      <c r="H227" s="158">
        <f t="shared" si="39"/>
        <v>26665</v>
      </c>
      <c r="I227" s="67">
        <f t="shared" si="36"/>
        <v>100</v>
      </c>
      <c r="K227" s="137"/>
      <c r="L227" s="137"/>
      <c r="M227" s="137"/>
      <c r="N227" s="285"/>
    </row>
    <row r="228" spans="1:14" s="35" customFormat="1" ht="25.5" x14ac:dyDescent="0.2">
      <c r="A228" s="83"/>
      <c r="B228" s="94"/>
      <c r="C228" s="557"/>
      <c r="D228" s="49" t="s">
        <v>235</v>
      </c>
      <c r="E228" s="567" t="s">
        <v>236</v>
      </c>
      <c r="F228" s="455"/>
      <c r="G228" s="486">
        <v>4000</v>
      </c>
      <c r="H228" s="487">
        <v>4000</v>
      </c>
      <c r="I228" s="550">
        <f t="shared" si="36"/>
        <v>100</v>
      </c>
      <c r="K228" s="137"/>
      <c r="L228" s="137"/>
      <c r="M228" s="137"/>
      <c r="N228" s="285"/>
    </row>
    <row r="229" spans="1:14" s="35" customFormat="1" ht="25.5" x14ac:dyDescent="0.2">
      <c r="A229" s="83"/>
      <c r="B229" s="94"/>
      <c r="C229" s="557"/>
      <c r="D229" s="49" t="s">
        <v>237</v>
      </c>
      <c r="E229" s="567" t="s">
        <v>238</v>
      </c>
      <c r="F229" s="455"/>
      <c r="G229" s="486">
        <v>22665</v>
      </c>
      <c r="H229" s="487">
        <v>22665</v>
      </c>
      <c r="I229" s="550">
        <f t="shared" si="36"/>
        <v>100</v>
      </c>
      <c r="K229" s="137"/>
      <c r="L229" s="137"/>
      <c r="M229" s="137"/>
      <c r="N229" s="285"/>
    </row>
    <row r="230" spans="1:14" s="35" customFormat="1" ht="15" x14ac:dyDescent="0.25">
      <c r="A230" s="83" t="s">
        <v>65</v>
      </c>
      <c r="B230" s="94">
        <v>6172</v>
      </c>
      <c r="C230" s="42">
        <v>2132</v>
      </c>
      <c r="D230" s="525" t="s">
        <v>265</v>
      </c>
      <c r="E230" s="53" t="s">
        <v>34</v>
      </c>
      <c r="F230" s="155">
        <v>23605</v>
      </c>
      <c r="G230" s="195">
        <v>24347</v>
      </c>
      <c r="H230" s="196">
        <v>24347</v>
      </c>
      <c r="I230" s="67">
        <f t="shared" si="36"/>
        <v>100</v>
      </c>
      <c r="K230" s="137"/>
      <c r="L230" s="137"/>
      <c r="M230" s="137"/>
      <c r="N230" s="285"/>
    </row>
    <row r="231" spans="1:14" s="35" customFormat="1" ht="15" x14ac:dyDescent="0.25">
      <c r="A231" s="83" t="s">
        <v>65</v>
      </c>
      <c r="B231" s="94">
        <v>6172</v>
      </c>
      <c r="C231" s="42">
        <v>2132</v>
      </c>
      <c r="D231" s="525" t="s">
        <v>240</v>
      </c>
      <c r="E231" s="53" t="s">
        <v>34</v>
      </c>
      <c r="F231" s="155">
        <v>4957</v>
      </c>
      <c r="G231" s="195">
        <v>5113</v>
      </c>
      <c r="H231" s="196">
        <v>5113</v>
      </c>
      <c r="I231" s="67">
        <f t="shared" si="36"/>
        <v>100</v>
      </c>
      <c r="K231" s="137"/>
      <c r="L231" s="137"/>
      <c r="M231" s="137"/>
      <c r="N231" s="285"/>
    </row>
    <row r="232" spans="1:14" s="35" customFormat="1" ht="15" x14ac:dyDescent="0.25">
      <c r="A232" s="83" t="s">
        <v>65</v>
      </c>
      <c r="B232" s="94">
        <v>6172</v>
      </c>
      <c r="C232" s="42">
        <v>2212</v>
      </c>
      <c r="D232" s="525"/>
      <c r="E232" s="52" t="s">
        <v>85</v>
      </c>
      <c r="F232" s="155"/>
      <c r="G232" s="195"/>
      <c r="H232" s="196">
        <v>89</v>
      </c>
      <c r="I232" s="67">
        <v>0</v>
      </c>
      <c r="K232" s="137"/>
      <c r="L232" s="137"/>
      <c r="M232" s="137"/>
      <c r="N232" s="285"/>
    </row>
    <row r="233" spans="1:14" s="35" customFormat="1" ht="15" x14ac:dyDescent="0.25">
      <c r="A233" s="83" t="s">
        <v>65</v>
      </c>
      <c r="B233" s="94">
        <v>6172</v>
      </c>
      <c r="C233" s="42">
        <v>2324</v>
      </c>
      <c r="D233" s="525"/>
      <c r="E233" s="144" t="s">
        <v>18</v>
      </c>
      <c r="F233" s="155"/>
      <c r="G233" s="195"/>
      <c r="H233" s="196">
        <v>3</v>
      </c>
      <c r="I233" s="67">
        <v>0</v>
      </c>
      <c r="K233" s="137"/>
      <c r="L233" s="137"/>
      <c r="M233" s="137"/>
      <c r="N233" s="285"/>
    </row>
    <row r="234" spans="1:14" s="35" customFormat="1" ht="15" x14ac:dyDescent="0.25">
      <c r="A234" s="83" t="s">
        <v>65</v>
      </c>
      <c r="B234" s="94">
        <v>6402</v>
      </c>
      <c r="C234" s="42">
        <v>2229</v>
      </c>
      <c r="D234" s="525" t="s">
        <v>217</v>
      </c>
      <c r="E234" s="46" t="s">
        <v>29</v>
      </c>
      <c r="F234" s="155"/>
      <c r="G234" s="195">
        <v>658</v>
      </c>
      <c r="H234" s="196">
        <v>658</v>
      </c>
      <c r="I234" s="67">
        <f t="shared" si="36"/>
        <v>100</v>
      </c>
      <c r="K234" s="137"/>
      <c r="L234" s="137"/>
      <c r="M234" s="137"/>
      <c r="N234" s="285"/>
    </row>
    <row r="235" spans="1:14" s="104" customFormat="1" ht="15" customHeight="1" x14ac:dyDescent="0.2">
      <c r="A235" s="313" t="s">
        <v>65</v>
      </c>
      <c r="B235" s="106"/>
      <c r="C235" s="109"/>
      <c r="D235" s="111"/>
      <c r="E235" s="102" t="s">
        <v>81</v>
      </c>
      <c r="F235" s="306">
        <f>F223+F230+F234+F231+F232+F233+F224+F227</f>
        <v>28682</v>
      </c>
      <c r="G235" s="306">
        <f t="shared" ref="G235:H235" si="40">G223+G230+G234+G231+G232+G233+G224+G227</f>
        <v>58621</v>
      </c>
      <c r="H235" s="306">
        <f t="shared" si="40"/>
        <v>58764</v>
      </c>
      <c r="I235" s="110">
        <f t="shared" si="36"/>
        <v>100.24393988502413</v>
      </c>
      <c r="K235" s="370">
        <v>28682000</v>
      </c>
      <c r="L235" s="370">
        <v>58620121.140000001</v>
      </c>
      <c r="M235" s="370">
        <v>58763620.810000002</v>
      </c>
      <c r="N235" s="307"/>
    </row>
    <row r="236" spans="1:14" s="35" customFormat="1" ht="15" hidden="1" x14ac:dyDescent="0.25">
      <c r="A236" s="83" t="s">
        <v>66</v>
      </c>
      <c r="B236" s="94"/>
      <c r="C236" s="42">
        <v>1361</v>
      </c>
      <c r="D236" s="49"/>
      <c r="E236" s="55" t="s">
        <v>1</v>
      </c>
      <c r="F236" s="155"/>
      <c r="G236" s="195"/>
      <c r="H236" s="196"/>
      <c r="I236" s="67">
        <v>0</v>
      </c>
      <c r="K236" s="137"/>
      <c r="L236" s="137"/>
      <c r="M236" s="137"/>
      <c r="N236" s="285"/>
    </row>
    <row r="237" spans="1:14" s="35" customFormat="1" ht="15" hidden="1" x14ac:dyDescent="0.25">
      <c r="A237" s="83" t="s">
        <v>66</v>
      </c>
      <c r="B237" s="94">
        <v>6172</v>
      </c>
      <c r="C237" s="42">
        <v>2212</v>
      </c>
      <c r="D237" s="43"/>
      <c r="E237" s="55" t="s">
        <v>13</v>
      </c>
      <c r="F237" s="155"/>
      <c r="G237" s="195"/>
      <c r="H237" s="196"/>
      <c r="I237" s="67" t="e">
        <f>(H237/G237)*100</f>
        <v>#DIV/0!</v>
      </c>
      <c r="K237" s="137"/>
      <c r="L237" s="137"/>
      <c r="M237" s="137"/>
      <c r="N237" s="285"/>
    </row>
    <row r="238" spans="1:14" s="35" customFormat="1" ht="15" hidden="1" x14ac:dyDescent="0.25">
      <c r="A238" s="83" t="s">
        <v>66</v>
      </c>
      <c r="B238" s="94">
        <v>6172</v>
      </c>
      <c r="C238" s="42">
        <v>2324</v>
      </c>
      <c r="D238" s="43"/>
      <c r="E238" s="144" t="s">
        <v>18</v>
      </c>
      <c r="F238" s="155"/>
      <c r="G238" s="195"/>
      <c r="H238" s="196"/>
      <c r="I238" s="67" t="e">
        <f>(H238/G238)*100</f>
        <v>#DIV/0!</v>
      </c>
      <c r="K238" s="137"/>
      <c r="L238" s="137"/>
      <c r="M238" s="137"/>
      <c r="N238" s="285"/>
    </row>
    <row r="239" spans="1:14" s="104" customFormat="1" hidden="1" x14ac:dyDescent="0.2">
      <c r="A239" s="313" t="s">
        <v>66</v>
      </c>
      <c r="B239" s="106"/>
      <c r="C239" s="109"/>
      <c r="D239" s="111"/>
      <c r="E239" s="102" t="s">
        <v>81</v>
      </c>
      <c r="F239" s="306">
        <f>F237+F236+F238</f>
        <v>0</v>
      </c>
      <c r="G239" s="310">
        <f>G237+G236+G238</f>
        <v>0</v>
      </c>
      <c r="H239" s="310">
        <f>H237+H236+H238</f>
        <v>0</v>
      </c>
      <c r="I239" s="110" t="e">
        <f>(H239/G239)*100</f>
        <v>#DIV/0!</v>
      </c>
      <c r="K239" s="370">
        <v>0</v>
      </c>
      <c r="L239" s="370">
        <v>0</v>
      </c>
      <c r="M239" s="370">
        <v>0</v>
      </c>
      <c r="N239" s="307"/>
    </row>
    <row r="240" spans="1:14" s="140" customFormat="1" ht="15" hidden="1" x14ac:dyDescent="0.25">
      <c r="A240" s="141" t="s">
        <v>67</v>
      </c>
      <c r="B240" s="269"/>
      <c r="C240" s="270">
        <v>4213</v>
      </c>
      <c r="D240" s="139"/>
      <c r="E240" s="268" t="s">
        <v>205</v>
      </c>
      <c r="F240" s="193"/>
      <c r="G240" s="158">
        <v>0</v>
      </c>
      <c r="H240" s="158">
        <v>0</v>
      </c>
      <c r="I240" s="67" t="e">
        <f t="shared" ref="I240:I245" si="41">(H240/G240)*100</f>
        <v>#DIV/0!</v>
      </c>
      <c r="K240" s="192"/>
      <c r="L240" s="192"/>
      <c r="M240" s="192"/>
      <c r="N240" s="308"/>
    </row>
    <row r="241" spans="1:14" s="140" customFormat="1" hidden="1" x14ac:dyDescent="0.2">
      <c r="A241" s="141" t="s">
        <v>67</v>
      </c>
      <c r="B241" s="269"/>
      <c r="C241" s="142"/>
      <c r="D241" s="194" t="s">
        <v>206</v>
      </c>
      <c r="E241" s="147" t="s">
        <v>207</v>
      </c>
      <c r="F241" s="193"/>
      <c r="G241" s="148">
        <v>0</v>
      </c>
      <c r="H241" s="148">
        <v>0</v>
      </c>
      <c r="I241" s="57" t="e">
        <f t="shared" si="41"/>
        <v>#DIV/0!</v>
      </c>
      <c r="K241" s="192"/>
      <c r="L241" s="192"/>
      <c r="M241" s="192"/>
      <c r="N241" s="308"/>
    </row>
    <row r="242" spans="1:14" s="140" customFormat="1" ht="15" x14ac:dyDescent="0.25">
      <c r="A242" s="141" t="s">
        <v>67</v>
      </c>
      <c r="B242" s="269"/>
      <c r="C242" s="142">
        <v>4121</v>
      </c>
      <c r="D242" s="139"/>
      <c r="E242" s="268" t="s">
        <v>389</v>
      </c>
      <c r="F242" s="158">
        <f>F243+F244</f>
        <v>6291</v>
      </c>
      <c r="G242" s="158">
        <f t="shared" ref="G242" si="42">G243+G244</f>
        <v>0</v>
      </c>
      <c r="H242" s="158">
        <f>H243+H244</f>
        <v>0</v>
      </c>
      <c r="I242" s="67">
        <v>0</v>
      </c>
      <c r="K242" s="192"/>
      <c r="L242" s="192"/>
      <c r="M242" s="192"/>
      <c r="N242" s="308"/>
    </row>
    <row r="243" spans="1:14" s="140" customFormat="1" x14ac:dyDescent="0.2">
      <c r="A243" s="141"/>
      <c r="B243" s="269"/>
      <c r="C243" s="142"/>
      <c r="D243" s="524" t="s">
        <v>326</v>
      </c>
      <c r="E243" s="585" t="s">
        <v>389</v>
      </c>
      <c r="F243" s="581">
        <v>6291</v>
      </c>
      <c r="G243" s="581"/>
      <c r="H243" s="581"/>
      <c r="I243" s="582">
        <v>0</v>
      </c>
      <c r="K243" s="192"/>
      <c r="L243" s="192"/>
      <c r="M243" s="192"/>
      <c r="N243" s="308"/>
    </row>
    <row r="244" spans="1:14" s="140" customFormat="1" hidden="1" x14ac:dyDescent="0.2">
      <c r="A244" s="141" t="s">
        <v>67</v>
      </c>
      <c r="B244" s="269"/>
      <c r="C244" s="142"/>
      <c r="D244" s="525" t="s">
        <v>266</v>
      </c>
      <c r="E244" s="147" t="s">
        <v>197</v>
      </c>
      <c r="F244" s="455"/>
      <c r="G244" s="455"/>
      <c r="H244" s="455"/>
      <c r="I244" s="484" t="e">
        <f t="shared" si="41"/>
        <v>#DIV/0!</v>
      </c>
      <c r="K244" s="192"/>
      <c r="L244" s="192"/>
      <c r="M244" s="192"/>
      <c r="N244" s="308"/>
    </row>
    <row r="245" spans="1:14" s="140" customFormat="1" ht="15" x14ac:dyDescent="0.25">
      <c r="A245" s="141" t="s">
        <v>67</v>
      </c>
      <c r="B245" s="269">
        <v>3315</v>
      </c>
      <c r="C245" s="142">
        <v>2212</v>
      </c>
      <c r="D245" s="525"/>
      <c r="E245" s="52" t="s">
        <v>85</v>
      </c>
      <c r="F245" s="455"/>
      <c r="G245" s="158">
        <v>1200</v>
      </c>
      <c r="H245" s="158">
        <v>1200</v>
      </c>
      <c r="I245" s="67">
        <f t="shared" si="41"/>
        <v>100</v>
      </c>
      <c r="K245" s="192"/>
      <c r="L245" s="192"/>
      <c r="M245" s="192"/>
      <c r="N245" s="308"/>
    </row>
    <row r="246" spans="1:14" s="35" customFormat="1" ht="15" x14ac:dyDescent="0.25">
      <c r="A246" s="83" t="s">
        <v>67</v>
      </c>
      <c r="B246" s="94">
        <v>4399</v>
      </c>
      <c r="C246" s="98">
        <v>2212</v>
      </c>
      <c r="D246" s="61"/>
      <c r="E246" s="52" t="s">
        <v>85</v>
      </c>
      <c r="F246" s="158"/>
      <c r="G246" s="235"/>
      <c r="H246" s="235">
        <v>64</v>
      </c>
      <c r="I246" s="67">
        <v>0</v>
      </c>
      <c r="K246" s="137"/>
      <c r="L246" s="137"/>
      <c r="M246" s="137"/>
      <c r="N246" s="285"/>
    </row>
    <row r="247" spans="1:14" s="35" customFormat="1" ht="15" x14ac:dyDescent="0.25">
      <c r="A247" s="83" t="s">
        <v>67</v>
      </c>
      <c r="B247" s="94">
        <v>6172</v>
      </c>
      <c r="C247" s="100">
        <v>2212</v>
      </c>
      <c r="D247" s="48"/>
      <c r="E247" s="55" t="s">
        <v>85</v>
      </c>
      <c r="F247" s="158"/>
      <c r="G247" s="195">
        <v>64</v>
      </c>
      <c r="H247" s="196">
        <v>95</v>
      </c>
      <c r="I247" s="67">
        <f>H247/G247*100</f>
        <v>148.4375</v>
      </c>
      <c r="K247" s="137"/>
      <c r="L247" s="137"/>
      <c r="M247" s="137"/>
      <c r="N247" s="285"/>
    </row>
    <row r="248" spans="1:14" s="35" customFormat="1" ht="15" x14ac:dyDescent="0.25">
      <c r="A248" s="83" t="s">
        <v>67</v>
      </c>
      <c r="B248" s="94">
        <v>6172</v>
      </c>
      <c r="C248" s="100">
        <v>2324</v>
      </c>
      <c r="D248" s="48"/>
      <c r="E248" s="144" t="s">
        <v>18</v>
      </c>
      <c r="F248" s="158"/>
      <c r="G248" s="195">
        <v>271</v>
      </c>
      <c r="H248" s="196">
        <v>271</v>
      </c>
      <c r="I248" s="67">
        <f>H248/G248*100</f>
        <v>100</v>
      </c>
      <c r="K248" s="137"/>
      <c r="L248" s="137"/>
      <c r="M248" s="137"/>
      <c r="N248" s="285"/>
    </row>
    <row r="249" spans="1:14" s="35" customFormat="1" ht="15" x14ac:dyDescent="0.25">
      <c r="A249" s="83" t="s">
        <v>67</v>
      </c>
      <c r="B249" s="94">
        <v>6172</v>
      </c>
      <c r="C249" s="100">
        <v>2329</v>
      </c>
      <c r="D249" s="48"/>
      <c r="E249" s="144" t="s">
        <v>336</v>
      </c>
      <c r="F249" s="158"/>
      <c r="G249" s="195">
        <v>400</v>
      </c>
      <c r="H249" s="196">
        <v>400</v>
      </c>
      <c r="I249" s="67">
        <f>H249/G249*100</f>
        <v>100</v>
      </c>
      <c r="K249" s="137"/>
      <c r="L249" s="137"/>
      <c r="M249" s="137"/>
      <c r="N249" s="285"/>
    </row>
    <row r="250" spans="1:14" s="104" customFormat="1" ht="15" customHeight="1" x14ac:dyDescent="0.2">
      <c r="A250" s="313" t="s">
        <v>67</v>
      </c>
      <c r="B250" s="106"/>
      <c r="C250" s="109"/>
      <c r="D250" s="111"/>
      <c r="E250" s="102" t="s">
        <v>81</v>
      </c>
      <c r="F250" s="306">
        <f>F242+F246+F247+F248+F245+F249</f>
        <v>6291</v>
      </c>
      <c r="G250" s="306">
        <f t="shared" ref="G250:H250" si="43">G242+G246+G247+G248+G245+G249</f>
        <v>1935</v>
      </c>
      <c r="H250" s="306">
        <f t="shared" si="43"/>
        <v>2030</v>
      </c>
      <c r="I250" s="110">
        <f>(H250/G250)*100</f>
        <v>104.9095607235142</v>
      </c>
      <c r="K250" s="370">
        <v>6291000</v>
      </c>
      <c r="L250" s="370">
        <v>1935596.72</v>
      </c>
      <c r="M250" s="370">
        <v>2030005.67</v>
      </c>
      <c r="N250" s="307"/>
    </row>
    <row r="251" spans="1:14" s="140" customFormat="1" x14ac:dyDescent="0.2">
      <c r="A251" s="677" t="s">
        <v>129</v>
      </c>
      <c r="B251" s="267"/>
      <c r="C251" s="679">
        <v>2420</v>
      </c>
      <c r="D251" s="681" t="s">
        <v>267</v>
      </c>
      <c r="E251" s="687" t="s">
        <v>304</v>
      </c>
      <c r="F251" s="684">
        <v>700</v>
      </c>
      <c r="G251" s="684">
        <v>700</v>
      </c>
      <c r="H251" s="684">
        <v>700</v>
      </c>
      <c r="I251" s="685">
        <f t="shared" ref="I251" si="44">(H251/G251)*100</f>
        <v>100</v>
      </c>
      <c r="K251" s="192"/>
      <c r="L251" s="192"/>
      <c r="M251" s="192"/>
      <c r="N251" s="308"/>
    </row>
    <row r="252" spans="1:14" s="140" customFormat="1" x14ac:dyDescent="0.2">
      <c r="A252" s="678"/>
      <c r="B252" s="267"/>
      <c r="C252" s="669"/>
      <c r="D252" s="682"/>
      <c r="E252" s="688"/>
      <c r="F252" s="661"/>
      <c r="G252" s="658"/>
      <c r="H252" s="658"/>
      <c r="I252" s="686"/>
      <c r="K252" s="192"/>
      <c r="L252" s="192"/>
      <c r="M252" s="192"/>
      <c r="N252" s="308"/>
    </row>
    <row r="253" spans="1:14" s="140" customFormat="1" ht="15" x14ac:dyDescent="0.25">
      <c r="A253" s="381">
        <v>18</v>
      </c>
      <c r="B253" s="269">
        <v>6172</v>
      </c>
      <c r="C253" s="382">
        <v>2133</v>
      </c>
      <c r="D253" s="139"/>
      <c r="E253" s="54" t="s">
        <v>24</v>
      </c>
      <c r="F253" s="608">
        <v>0.2</v>
      </c>
      <c r="G253" s="609">
        <v>0.2</v>
      </c>
      <c r="H253" s="610">
        <v>0.2</v>
      </c>
      <c r="I253" s="643">
        <v>0</v>
      </c>
      <c r="K253" s="192"/>
      <c r="L253" s="192"/>
      <c r="M253" s="192"/>
      <c r="N253" s="308"/>
    </row>
    <row r="254" spans="1:14" s="140" customFormat="1" ht="15" x14ac:dyDescent="0.25">
      <c r="A254" s="381">
        <v>18</v>
      </c>
      <c r="B254" s="269">
        <v>6402</v>
      </c>
      <c r="C254" s="382">
        <v>2229</v>
      </c>
      <c r="D254" s="525" t="s">
        <v>217</v>
      </c>
      <c r="E254" s="46" t="s">
        <v>29</v>
      </c>
      <c r="F254" s="158"/>
      <c r="G254" s="195">
        <v>573</v>
      </c>
      <c r="H254" s="196">
        <v>573</v>
      </c>
      <c r="I254" s="643">
        <f t="shared" ref="I254" si="45">(H254/G254)*100</f>
        <v>100</v>
      </c>
      <c r="K254" s="192"/>
      <c r="L254" s="192"/>
      <c r="M254" s="192"/>
      <c r="N254" s="308"/>
    </row>
    <row r="255" spans="1:14" s="35" customFormat="1" ht="15" x14ac:dyDescent="0.25">
      <c r="A255" s="83" t="s">
        <v>129</v>
      </c>
      <c r="B255" s="94">
        <v>6409</v>
      </c>
      <c r="C255" s="100">
        <v>2111</v>
      </c>
      <c r="D255" s="48"/>
      <c r="E255" s="239" t="s">
        <v>83</v>
      </c>
      <c r="F255" s="158">
        <v>1210</v>
      </c>
      <c r="G255" s="195">
        <v>1210</v>
      </c>
      <c r="H255" s="196">
        <v>1210</v>
      </c>
      <c r="I255" s="643">
        <f t="shared" ref="I255" si="46">(H255/G255)*100</f>
        <v>100</v>
      </c>
      <c r="K255" s="137"/>
      <c r="L255" s="137"/>
      <c r="M255" s="137"/>
      <c r="N255" s="285"/>
    </row>
    <row r="256" spans="1:14" s="35" customFormat="1" ht="15" x14ac:dyDescent="0.25">
      <c r="A256" s="83" t="s">
        <v>129</v>
      </c>
      <c r="B256" s="94">
        <v>6409</v>
      </c>
      <c r="C256" s="100">
        <v>2329</v>
      </c>
      <c r="D256" s="48"/>
      <c r="E256" s="239" t="s">
        <v>336</v>
      </c>
      <c r="F256" s="158"/>
      <c r="G256" s="195"/>
      <c r="H256" s="610">
        <v>104.8</v>
      </c>
      <c r="I256" s="67">
        <v>0</v>
      </c>
      <c r="K256" s="137"/>
      <c r="L256" s="137"/>
      <c r="M256" s="137"/>
      <c r="N256" s="285"/>
    </row>
    <row r="257" spans="1:14" s="104" customFormat="1" ht="15" customHeight="1" x14ac:dyDescent="0.2">
      <c r="A257" s="313" t="s">
        <v>129</v>
      </c>
      <c r="B257" s="106"/>
      <c r="C257" s="109"/>
      <c r="D257" s="111"/>
      <c r="E257" s="102" t="s">
        <v>81</v>
      </c>
      <c r="F257" s="611">
        <f>F251+F253+F254+F255+F256</f>
        <v>1910.2</v>
      </c>
      <c r="G257" s="611">
        <f t="shared" ref="G257:H257" si="47">G251+G253+G254+G255+G256</f>
        <v>2483.1999999999998</v>
      </c>
      <c r="H257" s="611">
        <f t="shared" si="47"/>
        <v>2588</v>
      </c>
      <c r="I257" s="110">
        <f>(H257/G257)*100</f>
        <v>104.22036082474229</v>
      </c>
      <c r="K257" s="370">
        <v>1910200</v>
      </c>
      <c r="L257" s="370">
        <v>2483703</v>
      </c>
      <c r="M257" s="370">
        <v>2588463</v>
      </c>
      <c r="N257" s="347"/>
    </row>
    <row r="258" spans="1:14" s="140" customFormat="1" ht="15" x14ac:dyDescent="0.25">
      <c r="A258" s="141" t="s">
        <v>208</v>
      </c>
      <c r="B258" s="269">
        <v>2221</v>
      </c>
      <c r="C258" s="142">
        <v>2123</v>
      </c>
      <c r="D258" s="139"/>
      <c r="E258" s="53" t="s">
        <v>273</v>
      </c>
      <c r="F258" s="158"/>
      <c r="G258" s="384"/>
      <c r="H258" s="195">
        <v>4043</v>
      </c>
      <c r="I258" s="67">
        <v>0</v>
      </c>
      <c r="K258" s="192"/>
      <c r="L258" s="192"/>
      <c r="M258" s="192"/>
      <c r="N258" s="351"/>
    </row>
    <row r="259" spans="1:14" s="140" customFormat="1" ht="15" x14ac:dyDescent="0.25">
      <c r="A259" s="141" t="s">
        <v>208</v>
      </c>
      <c r="B259" s="269">
        <v>2221</v>
      </c>
      <c r="C259" s="142">
        <v>2324</v>
      </c>
      <c r="D259" s="139"/>
      <c r="E259" s="53" t="s">
        <v>18</v>
      </c>
      <c r="F259" s="158">
        <v>37742</v>
      </c>
      <c r="G259" s="235">
        <v>37575</v>
      </c>
      <c r="H259" s="195">
        <v>37575</v>
      </c>
      <c r="I259" s="67">
        <f t="shared" ref="I259:I265" si="48">(H259/G259)*100</f>
        <v>100</v>
      </c>
      <c r="K259" s="192"/>
      <c r="L259" s="192"/>
      <c r="M259" s="192"/>
      <c r="N259" s="351"/>
    </row>
    <row r="260" spans="1:14" s="140" customFormat="1" ht="15" x14ac:dyDescent="0.25">
      <c r="A260" s="141" t="s">
        <v>208</v>
      </c>
      <c r="B260" s="269">
        <v>3127</v>
      </c>
      <c r="C260" s="142">
        <v>2123</v>
      </c>
      <c r="D260" s="139"/>
      <c r="E260" s="53" t="s">
        <v>273</v>
      </c>
      <c r="F260" s="158"/>
      <c r="G260" s="235"/>
      <c r="H260" s="195">
        <v>108</v>
      </c>
      <c r="I260" s="67">
        <v>0</v>
      </c>
      <c r="K260" s="192"/>
      <c r="L260" s="192"/>
      <c r="M260" s="192"/>
      <c r="N260" s="351"/>
    </row>
    <row r="261" spans="1:14" s="140" customFormat="1" ht="15" x14ac:dyDescent="0.25">
      <c r="A261" s="141" t="s">
        <v>208</v>
      </c>
      <c r="B261" s="269">
        <v>6172</v>
      </c>
      <c r="C261" s="142">
        <v>2122</v>
      </c>
      <c r="D261" s="525" t="s">
        <v>268</v>
      </c>
      <c r="E261" s="53" t="s">
        <v>272</v>
      </c>
      <c r="F261" s="158">
        <v>460</v>
      </c>
      <c r="G261" s="235">
        <v>460</v>
      </c>
      <c r="H261" s="195">
        <v>460</v>
      </c>
      <c r="I261" s="67">
        <f t="shared" si="48"/>
        <v>100</v>
      </c>
      <c r="K261" s="192"/>
      <c r="L261" s="192"/>
      <c r="M261" s="192"/>
      <c r="N261" s="351"/>
    </row>
    <row r="262" spans="1:14" s="140" customFormat="1" ht="15" x14ac:dyDescent="0.25">
      <c r="A262" s="141" t="s">
        <v>208</v>
      </c>
      <c r="B262" s="269">
        <v>6172</v>
      </c>
      <c r="C262" s="142">
        <v>2122</v>
      </c>
      <c r="D262" s="525" t="s">
        <v>269</v>
      </c>
      <c r="E262" s="53" t="s">
        <v>272</v>
      </c>
      <c r="F262" s="158">
        <v>100</v>
      </c>
      <c r="G262" s="235">
        <v>100</v>
      </c>
      <c r="H262" s="195">
        <v>100</v>
      </c>
      <c r="I262" s="67">
        <f t="shared" si="48"/>
        <v>100</v>
      </c>
      <c r="K262" s="192"/>
      <c r="L262" s="192"/>
      <c r="M262" s="192"/>
      <c r="N262" s="351"/>
    </row>
    <row r="263" spans="1:14" s="140" customFormat="1" ht="15" x14ac:dyDescent="0.25">
      <c r="A263" s="141" t="s">
        <v>208</v>
      </c>
      <c r="B263" s="269">
        <v>6172</v>
      </c>
      <c r="C263" s="142">
        <v>2122</v>
      </c>
      <c r="D263" s="525" t="s">
        <v>354</v>
      </c>
      <c r="E263" s="53" t="s">
        <v>272</v>
      </c>
      <c r="F263" s="158"/>
      <c r="G263" s="235">
        <v>1564</v>
      </c>
      <c r="H263" s="195">
        <v>1564</v>
      </c>
      <c r="I263" s="67">
        <f t="shared" si="48"/>
        <v>100</v>
      </c>
      <c r="K263" s="192"/>
      <c r="L263" s="192"/>
      <c r="M263" s="192"/>
      <c r="N263" s="351"/>
    </row>
    <row r="264" spans="1:14" s="140" customFormat="1" ht="15" x14ac:dyDescent="0.25">
      <c r="A264" s="141" t="s">
        <v>208</v>
      </c>
      <c r="B264" s="269">
        <v>6172</v>
      </c>
      <c r="C264" s="142">
        <v>2122</v>
      </c>
      <c r="D264" s="525" t="s">
        <v>270</v>
      </c>
      <c r="E264" s="53" t="s">
        <v>272</v>
      </c>
      <c r="F264" s="158">
        <v>169350</v>
      </c>
      <c r="G264" s="235">
        <v>175061</v>
      </c>
      <c r="H264" s="195">
        <v>175061</v>
      </c>
      <c r="I264" s="67">
        <f t="shared" si="48"/>
        <v>100</v>
      </c>
      <c r="K264" s="192"/>
      <c r="L264" s="192"/>
      <c r="M264" s="192"/>
      <c r="N264" s="351"/>
    </row>
    <row r="265" spans="1:14" s="140" customFormat="1" ht="15" x14ac:dyDescent="0.25">
      <c r="A265" s="141" t="s">
        <v>208</v>
      </c>
      <c r="B265" s="269">
        <v>6172</v>
      </c>
      <c r="C265" s="142">
        <v>2122</v>
      </c>
      <c r="D265" s="525" t="s">
        <v>271</v>
      </c>
      <c r="E265" s="53" t="s">
        <v>272</v>
      </c>
      <c r="F265" s="158">
        <v>255</v>
      </c>
      <c r="G265" s="235">
        <v>614</v>
      </c>
      <c r="H265" s="195">
        <v>614</v>
      </c>
      <c r="I265" s="67">
        <f t="shared" si="48"/>
        <v>100</v>
      </c>
      <c r="K265" s="192"/>
      <c r="L265" s="192"/>
      <c r="M265" s="192"/>
      <c r="N265" s="351"/>
    </row>
    <row r="266" spans="1:14" s="140" customFormat="1" ht="15" x14ac:dyDescent="0.25">
      <c r="A266" s="141" t="s">
        <v>208</v>
      </c>
      <c r="B266" s="269">
        <v>6172</v>
      </c>
      <c r="C266" s="142">
        <v>2132</v>
      </c>
      <c r="D266" s="525" t="s">
        <v>274</v>
      </c>
      <c r="E266" s="53" t="s">
        <v>34</v>
      </c>
      <c r="F266" s="158">
        <v>2070</v>
      </c>
      <c r="G266" s="235">
        <v>1986</v>
      </c>
      <c r="H266" s="195">
        <v>1986</v>
      </c>
      <c r="I266" s="67">
        <f t="shared" ref="I266:I268" si="49">(H266/G266)*100</f>
        <v>100</v>
      </c>
      <c r="K266" s="192"/>
      <c r="L266" s="192"/>
      <c r="M266" s="192"/>
      <c r="N266" s="351"/>
    </row>
    <row r="267" spans="1:14" s="140" customFormat="1" ht="15" x14ac:dyDescent="0.25">
      <c r="A267" s="141" t="s">
        <v>208</v>
      </c>
      <c r="B267" s="269">
        <v>6172</v>
      </c>
      <c r="C267" s="142">
        <v>2212</v>
      </c>
      <c r="D267" s="525"/>
      <c r="E267" s="53" t="s">
        <v>85</v>
      </c>
      <c r="F267" s="158"/>
      <c r="G267" s="235"/>
      <c r="H267" s="195">
        <v>2</v>
      </c>
      <c r="I267" s="67">
        <v>0</v>
      </c>
      <c r="K267" s="192"/>
      <c r="L267" s="192"/>
      <c r="M267" s="192"/>
      <c r="N267" s="351"/>
    </row>
    <row r="268" spans="1:14" s="140" customFormat="1" ht="15" x14ac:dyDescent="0.25">
      <c r="A268" s="141" t="s">
        <v>208</v>
      </c>
      <c r="B268" s="269">
        <v>6402</v>
      </c>
      <c r="C268" s="142">
        <v>2229</v>
      </c>
      <c r="D268" s="525" t="s">
        <v>217</v>
      </c>
      <c r="E268" s="53" t="s">
        <v>29</v>
      </c>
      <c r="F268" s="158"/>
      <c r="G268" s="235">
        <v>20026</v>
      </c>
      <c r="H268" s="195">
        <v>22021</v>
      </c>
      <c r="I268" s="67">
        <f t="shared" si="49"/>
        <v>109.96204933586338</v>
      </c>
      <c r="K268" s="192"/>
      <c r="L268" s="192"/>
      <c r="M268" s="192"/>
      <c r="N268" s="351"/>
    </row>
    <row r="269" spans="1:14" s="140" customFormat="1" ht="15" x14ac:dyDescent="0.25">
      <c r="A269" s="141" t="s">
        <v>208</v>
      </c>
      <c r="B269" s="269">
        <v>6409</v>
      </c>
      <c r="C269" s="142">
        <v>2123</v>
      </c>
      <c r="D269" s="525"/>
      <c r="E269" s="53" t="s">
        <v>273</v>
      </c>
      <c r="F269" s="158"/>
      <c r="G269" s="235"/>
      <c r="H269" s="195">
        <v>656</v>
      </c>
      <c r="I269" s="67">
        <v>0</v>
      </c>
      <c r="K269" s="192"/>
      <c r="L269" s="192"/>
      <c r="M269" s="192"/>
      <c r="N269" s="351"/>
    </row>
    <row r="270" spans="1:14" s="140" customFormat="1" ht="15" x14ac:dyDescent="0.25">
      <c r="A270" s="141" t="s">
        <v>208</v>
      </c>
      <c r="B270" s="269">
        <v>6409</v>
      </c>
      <c r="C270" s="142">
        <v>2129</v>
      </c>
      <c r="D270" s="525"/>
      <c r="E270" s="53" t="s">
        <v>355</v>
      </c>
      <c r="F270" s="158"/>
      <c r="G270" s="235"/>
      <c r="H270" s="195">
        <v>209</v>
      </c>
      <c r="I270" s="67">
        <v>0</v>
      </c>
      <c r="K270" s="192"/>
      <c r="L270" s="192"/>
      <c r="M270" s="192"/>
      <c r="N270" s="351"/>
    </row>
    <row r="271" spans="1:14" s="104" customFormat="1" ht="15" customHeight="1" x14ac:dyDescent="0.2">
      <c r="A271" s="313" t="s">
        <v>208</v>
      </c>
      <c r="B271" s="106"/>
      <c r="C271" s="109"/>
      <c r="D271" s="111"/>
      <c r="E271" s="102" t="s">
        <v>81</v>
      </c>
      <c r="F271" s="306">
        <f>F258+F259+F261+F262+F264+F265+F266+F268+F260+F263+F267+F269+F270</f>
        <v>209977</v>
      </c>
      <c r="G271" s="306">
        <f t="shared" ref="G271:H271" si="50">G258+G259+G261+G262+G264+G265+G266+G268+G260+G263+G267+G269+G270</f>
        <v>237386</v>
      </c>
      <c r="H271" s="306">
        <f t="shared" si="50"/>
        <v>244399</v>
      </c>
      <c r="I271" s="110">
        <f>(H271/G271)*100</f>
        <v>102.95426015013523</v>
      </c>
      <c r="K271" s="370">
        <v>209977000</v>
      </c>
      <c r="L271" s="370">
        <v>237386348.06</v>
      </c>
      <c r="M271" s="370">
        <v>244398998.33000001</v>
      </c>
      <c r="N271" s="347"/>
    </row>
    <row r="272" spans="1:14" s="431" customFormat="1" ht="15" x14ac:dyDescent="0.25">
      <c r="A272" s="141" t="s">
        <v>275</v>
      </c>
      <c r="B272" s="269"/>
      <c r="C272" s="142">
        <v>1361</v>
      </c>
      <c r="D272" s="139"/>
      <c r="E272" s="53" t="s">
        <v>1</v>
      </c>
      <c r="F272" s="158"/>
      <c r="G272" s="384"/>
      <c r="H272" s="195">
        <v>3</v>
      </c>
      <c r="I272" s="67">
        <v>0</v>
      </c>
      <c r="K272" s="432"/>
      <c r="L272" s="432"/>
      <c r="M272" s="432"/>
      <c r="N272" s="485"/>
    </row>
    <row r="273" spans="1:14" s="431" customFormat="1" ht="15" x14ac:dyDescent="0.25">
      <c r="A273" s="141" t="s">
        <v>275</v>
      </c>
      <c r="B273" s="269">
        <v>6172</v>
      </c>
      <c r="C273" s="142">
        <v>2123</v>
      </c>
      <c r="D273" s="139"/>
      <c r="E273" s="53" t="s">
        <v>273</v>
      </c>
      <c r="F273" s="158"/>
      <c r="G273" s="235"/>
      <c r="H273" s="195">
        <v>373</v>
      </c>
      <c r="I273" s="67">
        <v>0</v>
      </c>
      <c r="K273" s="432"/>
      <c r="L273" s="432"/>
      <c r="M273" s="432"/>
      <c r="N273" s="485"/>
    </row>
    <row r="274" spans="1:14" s="431" customFormat="1" ht="15" x14ac:dyDescent="0.25">
      <c r="A274" s="141" t="s">
        <v>275</v>
      </c>
      <c r="B274" s="269">
        <v>6172</v>
      </c>
      <c r="C274" s="142">
        <v>2211</v>
      </c>
      <c r="D274" s="49"/>
      <c r="E274" s="53" t="s">
        <v>84</v>
      </c>
      <c r="F274" s="158"/>
      <c r="G274" s="235"/>
      <c r="H274" s="195">
        <v>198</v>
      </c>
      <c r="I274" s="67">
        <v>0</v>
      </c>
      <c r="K274" s="432"/>
      <c r="L274" s="432"/>
      <c r="M274" s="432"/>
      <c r="N274" s="485"/>
    </row>
    <row r="275" spans="1:14" s="431" customFormat="1" ht="15" x14ac:dyDescent="0.25">
      <c r="A275" s="141" t="s">
        <v>275</v>
      </c>
      <c r="B275" s="269">
        <v>6172</v>
      </c>
      <c r="C275" s="142">
        <v>2212</v>
      </c>
      <c r="D275" s="49"/>
      <c r="E275" s="53" t="s">
        <v>85</v>
      </c>
      <c r="F275" s="158"/>
      <c r="G275" s="235"/>
      <c r="H275" s="195">
        <v>1389</v>
      </c>
      <c r="I275" s="67">
        <v>0</v>
      </c>
      <c r="K275" s="432"/>
      <c r="L275" s="432"/>
      <c r="M275" s="432"/>
      <c r="N275" s="485"/>
    </row>
    <row r="276" spans="1:14" s="431" customFormat="1" ht="15" x14ac:dyDescent="0.25">
      <c r="A276" s="141" t="s">
        <v>275</v>
      </c>
      <c r="B276" s="269">
        <v>6172</v>
      </c>
      <c r="C276" s="142">
        <v>2229</v>
      </c>
      <c r="D276" s="49"/>
      <c r="E276" s="53" t="s">
        <v>29</v>
      </c>
      <c r="F276" s="158"/>
      <c r="G276" s="235"/>
      <c r="H276" s="195">
        <v>2538</v>
      </c>
      <c r="I276" s="67">
        <v>0</v>
      </c>
      <c r="K276" s="432"/>
      <c r="L276" s="432"/>
      <c r="M276" s="432"/>
      <c r="N276" s="485"/>
    </row>
    <row r="277" spans="1:14" s="431" customFormat="1" ht="15" x14ac:dyDescent="0.25">
      <c r="A277" s="141" t="s">
        <v>275</v>
      </c>
      <c r="B277" s="269">
        <v>6172</v>
      </c>
      <c r="C277" s="142">
        <v>2322</v>
      </c>
      <c r="D277" s="49" t="s">
        <v>239</v>
      </c>
      <c r="E277" s="59" t="s">
        <v>9</v>
      </c>
      <c r="F277" s="158"/>
      <c r="G277" s="235">
        <v>143</v>
      </c>
      <c r="H277" s="195">
        <v>143</v>
      </c>
      <c r="I277" s="67">
        <f>H277/G277*100</f>
        <v>100</v>
      </c>
      <c r="K277" s="432"/>
      <c r="L277" s="432"/>
      <c r="M277" s="432"/>
      <c r="N277" s="485"/>
    </row>
    <row r="278" spans="1:14" s="431" customFormat="1" ht="15" x14ac:dyDescent="0.25">
      <c r="A278" s="141" t="s">
        <v>275</v>
      </c>
      <c r="B278" s="269">
        <v>6172</v>
      </c>
      <c r="C278" s="142">
        <v>2324</v>
      </c>
      <c r="D278" s="49"/>
      <c r="E278" s="53" t="s">
        <v>18</v>
      </c>
      <c r="F278" s="158"/>
      <c r="G278" s="235"/>
      <c r="H278" s="195">
        <v>105</v>
      </c>
      <c r="I278" s="67">
        <v>0</v>
      </c>
      <c r="K278" s="432"/>
      <c r="L278" s="432"/>
      <c r="M278" s="432"/>
      <c r="N278" s="485"/>
    </row>
    <row r="279" spans="1:14" s="104" customFormat="1" x14ac:dyDescent="0.2">
      <c r="A279" s="313" t="s">
        <v>275</v>
      </c>
      <c r="B279" s="106"/>
      <c r="C279" s="109"/>
      <c r="D279" s="111"/>
      <c r="E279" s="102" t="s">
        <v>81</v>
      </c>
      <c r="F279" s="306">
        <f>F272+F273+F274+F275+F276+F278+F277</f>
        <v>0</v>
      </c>
      <c r="G279" s="306">
        <f t="shared" ref="G279:H279" si="51">G272+G273+G274+G275+G276+G278+G277</f>
        <v>143</v>
      </c>
      <c r="H279" s="306">
        <f t="shared" si="51"/>
        <v>4749</v>
      </c>
      <c r="I279" s="110">
        <v>0</v>
      </c>
      <c r="K279" s="370">
        <v>0</v>
      </c>
      <c r="L279" s="370">
        <v>142914</v>
      </c>
      <c r="M279" s="370">
        <v>4749018.6900000004</v>
      </c>
      <c r="N279" s="347"/>
    </row>
    <row r="280" spans="1:14" s="140" customFormat="1" ht="15" hidden="1" x14ac:dyDescent="0.25">
      <c r="A280" s="141" t="s">
        <v>99</v>
      </c>
      <c r="B280" s="94">
        <v>6330</v>
      </c>
      <c r="C280" s="42">
        <v>4134</v>
      </c>
      <c r="D280" s="49"/>
      <c r="E280" s="54" t="s">
        <v>16</v>
      </c>
      <c r="F280" s="158"/>
      <c r="G280" s="195"/>
      <c r="H280" s="196">
        <v>0</v>
      </c>
      <c r="I280" s="143">
        <v>0</v>
      </c>
      <c r="K280" s="192"/>
      <c r="L280" s="192"/>
      <c r="M280" s="192"/>
      <c r="N280" s="308"/>
    </row>
    <row r="281" spans="1:14" s="104" customFormat="1" hidden="1" x14ac:dyDescent="0.2">
      <c r="A281" s="313" t="s">
        <v>99</v>
      </c>
      <c r="B281" s="106"/>
      <c r="C281" s="109"/>
      <c r="D281" s="111"/>
      <c r="E281" s="102" t="s">
        <v>81</v>
      </c>
      <c r="F281" s="306">
        <v>0</v>
      </c>
      <c r="G281" s="395">
        <v>0</v>
      </c>
      <c r="H281" s="396">
        <v>0</v>
      </c>
      <c r="I281" s="110">
        <v>0</v>
      </c>
      <c r="K281" s="383">
        <v>0</v>
      </c>
      <c r="L281" s="383">
        <v>0</v>
      </c>
      <c r="M281" s="383">
        <v>343</v>
      </c>
      <c r="N281" s="307"/>
    </row>
    <row r="282" spans="1:14" s="35" customFormat="1" ht="15" x14ac:dyDescent="0.25">
      <c r="A282" s="83" t="s">
        <v>68</v>
      </c>
      <c r="B282" s="94">
        <v>6330</v>
      </c>
      <c r="C282" s="557">
        <v>4134</v>
      </c>
      <c r="D282" s="49"/>
      <c r="E282" s="41" t="s">
        <v>16</v>
      </c>
      <c r="F282" s="155"/>
      <c r="G282" s="195"/>
      <c r="H282" s="196">
        <v>1033110</v>
      </c>
      <c r="I282" s="56">
        <v>0</v>
      </c>
      <c r="K282" s="123"/>
      <c r="L282" s="123"/>
      <c r="M282" s="123">
        <v>10855.44</v>
      </c>
      <c r="N282" s="285"/>
    </row>
    <row r="283" spans="1:14" s="35" customFormat="1" ht="15" x14ac:dyDescent="0.25">
      <c r="A283" s="83" t="s">
        <v>68</v>
      </c>
      <c r="B283" s="94">
        <v>6409</v>
      </c>
      <c r="C283" s="42">
        <v>2328</v>
      </c>
      <c r="D283" s="49"/>
      <c r="E283" s="41" t="s">
        <v>11</v>
      </c>
      <c r="F283" s="155"/>
      <c r="G283" s="195"/>
      <c r="H283" s="196">
        <v>11</v>
      </c>
      <c r="I283" s="56">
        <v>0</v>
      </c>
      <c r="K283" s="123"/>
      <c r="L283" s="123"/>
      <c r="M283" s="123">
        <v>1033109729.72</v>
      </c>
      <c r="N283" s="285"/>
    </row>
    <row r="284" spans="1:14" s="104" customFormat="1" ht="15" customHeight="1" x14ac:dyDescent="0.2">
      <c r="A284" s="313" t="s">
        <v>68</v>
      </c>
      <c r="B284" s="106"/>
      <c r="C284" s="109"/>
      <c r="D284" s="111"/>
      <c r="E284" s="102" t="s">
        <v>81</v>
      </c>
      <c r="F284" s="306">
        <f>F282+F283</f>
        <v>0</v>
      </c>
      <c r="G284" s="306">
        <f t="shared" ref="G284:H284" si="52">G282+G283</f>
        <v>0</v>
      </c>
      <c r="H284" s="306">
        <f t="shared" si="52"/>
        <v>1033121</v>
      </c>
      <c r="I284" s="105">
        <v>0</v>
      </c>
      <c r="K284" s="383">
        <v>0</v>
      </c>
      <c r="L284" s="383">
        <v>0</v>
      </c>
      <c r="M284" s="383">
        <v>1033120585.16</v>
      </c>
      <c r="N284" s="307"/>
    </row>
    <row r="285" spans="1:14" s="140" customFormat="1" ht="15" x14ac:dyDescent="0.25">
      <c r="A285" s="83" t="s">
        <v>69</v>
      </c>
      <c r="B285" s="94"/>
      <c r="C285" s="99">
        <v>4121</v>
      </c>
      <c r="D285" s="61"/>
      <c r="E285" s="51" t="s">
        <v>356</v>
      </c>
      <c r="F285" s="158"/>
      <c r="G285" s="158">
        <v>3346</v>
      </c>
      <c r="H285" s="158">
        <v>0</v>
      </c>
      <c r="I285" s="67">
        <f t="shared" ref="I285:I286" si="53">(H285/G285)*100</f>
        <v>0</v>
      </c>
      <c r="K285" s="245"/>
      <c r="L285" s="245"/>
      <c r="M285" s="245"/>
      <c r="N285" s="308"/>
    </row>
    <row r="286" spans="1:14" s="140" customFormat="1" ht="15" x14ac:dyDescent="0.25">
      <c r="A286" s="83" t="s">
        <v>69</v>
      </c>
      <c r="B286" s="94"/>
      <c r="C286" s="99">
        <v>4216</v>
      </c>
      <c r="D286" s="61"/>
      <c r="E286" s="50" t="s">
        <v>90</v>
      </c>
      <c r="F286" s="158"/>
      <c r="G286" s="158">
        <f>G287+G288</f>
        <v>35722</v>
      </c>
      <c r="H286" s="158">
        <f>H287+H288</f>
        <v>35722</v>
      </c>
      <c r="I286" s="67">
        <f t="shared" si="53"/>
        <v>100</v>
      </c>
      <c r="K286" s="245"/>
      <c r="L286" s="245"/>
      <c r="M286" s="245"/>
      <c r="N286" s="308"/>
    </row>
    <row r="287" spans="1:14" s="140" customFormat="1" x14ac:dyDescent="0.2">
      <c r="A287" s="83"/>
      <c r="B287" s="94"/>
      <c r="C287" s="596"/>
      <c r="D287" s="515" t="s">
        <v>328</v>
      </c>
      <c r="E287" s="617" t="s">
        <v>329</v>
      </c>
      <c r="F287" s="455"/>
      <c r="G287" s="486">
        <v>1984</v>
      </c>
      <c r="H287" s="487">
        <v>1984</v>
      </c>
      <c r="I287" s="484">
        <f>(H287/G287)*100</f>
        <v>100</v>
      </c>
      <c r="K287" s="245"/>
      <c r="L287" s="245"/>
      <c r="M287" s="245"/>
      <c r="N287" s="308"/>
    </row>
    <row r="288" spans="1:14" s="140" customFormat="1" ht="15" x14ac:dyDescent="0.25">
      <c r="A288" s="618"/>
      <c r="B288" s="619"/>
      <c r="C288" s="620"/>
      <c r="D288" s="621" t="s">
        <v>330</v>
      </c>
      <c r="E288" s="622" t="s">
        <v>331</v>
      </c>
      <c r="F288" s="623"/>
      <c r="G288" s="624">
        <v>33738</v>
      </c>
      <c r="H288" s="625">
        <v>33738</v>
      </c>
      <c r="I288" s="626">
        <f>H288/G288*100</f>
        <v>100</v>
      </c>
      <c r="K288" s="245"/>
      <c r="L288" s="245"/>
      <c r="M288" s="245"/>
      <c r="N288" s="308"/>
    </row>
    <row r="289" spans="1:14" s="140" customFormat="1" ht="15" customHeight="1" x14ac:dyDescent="0.2">
      <c r="A289" s="612"/>
      <c r="B289" s="613"/>
      <c r="C289" s="614"/>
      <c r="D289" s="615"/>
      <c r="E289" s="616"/>
      <c r="F289" s="638">
        <f>SUM(F284,F279,F271,F257,F250,F235,F215,F203)</f>
        <v>249760.2</v>
      </c>
      <c r="G289" s="638">
        <f t="shared" ref="G289:H289" si="54">SUM(G284,G279,G271,G257,G250,G235,G215,G203)</f>
        <v>341664.2</v>
      </c>
      <c r="H289" s="638">
        <f t="shared" si="54"/>
        <v>1389168</v>
      </c>
      <c r="I289" s="441"/>
      <c r="K289" s="245"/>
      <c r="L289" s="245"/>
      <c r="M289" s="245"/>
      <c r="N289" s="308"/>
    </row>
    <row r="290" spans="1:14" ht="13.5" customHeight="1" thickBot="1" x14ac:dyDescent="0.25">
      <c r="A290" s="85"/>
      <c r="I290" s="30" t="s">
        <v>0</v>
      </c>
    </row>
    <row r="291" spans="1:14" s="35" customFormat="1" ht="24.95" customHeight="1" thickTop="1" thickBot="1" x14ac:dyDescent="0.25">
      <c r="A291" s="504" t="s">
        <v>53</v>
      </c>
      <c r="B291" s="66" t="s">
        <v>10</v>
      </c>
      <c r="C291" s="31" t="s">
        <v>2</v>
      </c>
      <c r="D291" s="344" t="s">
        <v>314</v>
      </c>
      <c r="E291" s="32" t="s">
        <v>3</v>
      </c>
      <c r="F291" s="511" t="s">
        <v>291</v>
      </c>
      <c r="G291" s="511" t="s">
        <v>292</v>
      </c>
      <c r="H291" s="33" t="s">
        <v>14</v>
      </c>
      <c r="I291" s="34" t="s">
        <v>15</v>
      </c>
      <c r="K291" s="137"/>
      <c r="L291" s="137"/>
      <c r="M291" s="137"/>
      <c r="N291" s="285"/>
    </row>
    <row r="292" spans="1:14" s="36" customFormat="1" ht="15" customHeight="1" thickTop="1" x14ac:dyDescent="0.2">
      <c r="A292" s="80">
        <v>1</v>
      </c>
      <c r="B292" s="75">
        <v>2</v>
      </c>
      <c r="C292" s="76">
        <v>3</v>
      </c>
      <c r="D292" s="75">
        <v>4</v>
      </c>
      <c r="E292" s="76">
        <v>5</v>
      </c>
      <c r="F292" s="75">
        <v>6</v>
      </c>
      <c r="G292" s="77">
        <v>7</v>
      </c>
      <c r="H292" s="78">
        <v>8</v>
      </c>
      <c r="I292" s="79" t="s">
        <v>54</v>
      </c>
      <c r="J292" s="35"/>
      <c r="K292" s="184"/>
      <c r="L292" s="184"/>
      <c r="M292" s="184"/>
      <c r="N292" s="286"/>
    </row>
    <row r="293" spans="1:14" s="140" customFormat="1" ht="15" x14ac:dyDescent="0.25">
      <c r="A293" s="83" t="s">
        <v>69</v>
      </c>
      <c r="B293" s="94"/>
      <c r="C293" s="99">
        <v>4218</v>
      </c>
      <c r="D293" s="61"/>
      <c r="E293" s="51" t="s">
        <v>358</v>
      </c>
      <c r="F293" s="158"/>
      <c r="G293" s="158">
        <f t="shared" ref="G293:H293" si="55">G294</f>
        <v>9557</v>
      </c>
      <c r="H293" s="158">
        <f t="shared" si="55"/>
        <v>9557</v>
      </c>
      <c r="I293" s="67">
        <f t="shared" ref="I293:I295" si="56">(H293/G293)*100</f>
        <v>100</v>
      </c>
      <c r="K293" s="245"/>
      <c r="L293" s="245"/>
      <c r="M293" s="245"/>
      <c r="N293" s="308"/>
    </row>
    <row r="294" spans="1:14" s="140" customFormat="1" x14ac:dyDescent="0.2">
      <c r="A294" s="83"/>
      <c r="B294" s="94"/>
      <c r="C294" s="557"/>
      <c r="D294" s="515" t="s">
        <v>357</v>
      </c>
      <c r="E294" s="135" t="s">
        <v>359</v>
      </c>
      <c r="F294" s="455"/>
      <c r="G294" s="486">
        <v>9557</v>
      </c>
      <c r="H294" s="487">
        <v>9557</v>
      </c>
      <c r="I294" s="484">
        <f t="shared" si="56"/>
        <v>100</v>
      </c>
      <c r="K294" s="245"/>
      <c r="L294" s="245"/>
      <c r="M294" s="245"/>
      <c r="N294" s="308"/>
    </row>
    <row r="295" spans="1:14" s="140" customFormat="1" ht="15" x14ac:dyDescent="0.25">
      <c r="A295" s="83" t="s">
        <v>69</v>
      </c>
      <c r="B295" s="94"/>
      <c r="C295" s="99">
        <v>4221</v>
      </c>
      <c r="D295" s="61"/>
      <c r="E295" s="51" t="s">
        <v>197</v>
      </c>
      <c r="F295" s="158"/>
      <c r="G295" s="158">
        <v>2532</v>
      </c>
      <c r="H295" s="158">
        <v>2532</v>
      </c>
      <c r="I295" s="67">
        <f t="shared" si="56"/>
        <v>100</v>
      </c>
      <c r="K295" s="245"/>
      <c r="L295" s="245"/>
      <c r="M295" s="245"/>
      <c r="N295" s="308"/>
    </row>
    <row r="296" spans="1:14" s="35" customFormat="1" ht="15" x14ac:dyDescent="0.25">
      <c r="A296" s="83" t="s">
        <v>69</v>
      </c>
      <c r="B296" s="94">
        <v>2212</v>
      </c>
      <c r="C296" s="99">
        <v>2324</v>
      </c>
      <c r="D296" s="61"/>
      <c r="E296" s="51" t="s">
        <v>18</v>
      </c>
      <c r="F296" s="158"/>
      <c r="G296" s="158">
        <v>16</v>
      </c>
      <c r="H296" s="158">
        <v>16</v>
      </c>
      <c r="I296" s="56">
        <f t="shared" ref="I296:I302" si="57">(H296/G296)*100</f>
        <v>100</v>
      </c>
      <c r="K296" s="137"/>
      <c r="L296" s="137"/>
      <c r="M296" s="137"/>
      <c r="N296" s="285"/>
    </row>
    <row r="297" spans="1:14" s="35" customFormat="1" ht="15" x14ac:dyDescent="0.25">
      <c r="A297" s="83" t="s">
        <v>69</v>
      </c>
      <c r="B297" s="94">
        <v>2212</v>
      </c>
      <c r="C297" s="99">
        <v>2329</v>
      </c>
      <c r="D297" s="61"/>
      <c r="E297" s="51" t="s">
        <v>336</v>
      </c>
      <c r="F297" s="158"/>
      <c r="G297" s="158">
        <v>65</v>
      </c>
      <c r="H297" s="158">
        <v>65</v>
      </c>
      <c r="I297" s="56">
        <f t="shared" si="57"/>
        <v>100</v>
      </c>
      <c r="K297" s="137"/>
      <c r="L297" s="137"/>
      <c r="M297" s="137"/>
      <c r="N297" s="285"/>
    </row>
    <row r="298" spans="1:14" s="35" customFormat="1" ht="15" x14ac:dyDescent="0.25">
      <c r="A298" s="83" t="s">
        <v>69</v>
      </c>
      <c r="B298" s="94">
        <v>6172</v>
      </c>
      <c r="C298" s="42">
        <v>2212</v>
      </c>
      <c r="D298" s="48"/>
      <c r="E298" s="144" t="s">
        <v>85</v>
      </c>
      <c r="F298" s="158"/>
      <c r="G298" s="159">
        <v>1566</v>
      </c>
      <c r="H298" s="190">
        <v>1826</v>
      </c>
      <c r="I298" s="56">
        <f t="shared" si="57"/>
        <v>116.60280970625799</v>
      </c>
      <c r="K298" s="137"/>
      <c r="L298" s="137"/>
      <c r="M298" s="137"/>
      <c r="N298" s="285"/>
    </row>
    <row r="299" spans="1:14" s="35" customFormat="1" ht="15" x14ac:dyDescent="0.25">
      <c r="A299" s="83" t="s">
        <v>69</v>
      </c>
      <c r="B299" s="94">
        <v>6330</v>
      </c>
      <c r="C299" s="588">
        <v>4134</v>
      </c>
      <c r="D299" s="48"/>
      <c r="E299" s="41" t="s">
        <v>16</v>
      </c>
      <c r="F299" s="158"/>
      <c r="G299" s="159"/>
      <c r="H299" s="190">
        <v>164611</v>
      </c>
      <c r="I299" s="56">
        <v>0</v>
      </c>
      <c r="K299" s="137"/>
      <c r="L299" s="137"/>
      <c r="M299" s="137">
        <v>164611200.62</v>
      </c>
      <c r="N299" s="285"/>
    </row>
    <row r="300" spans="1:14" s="104" customFormat="1" x14ac:dyDescent="0.2">
      <c r="A300" s="313" t="s">
        <v>69</v>
      </c>
      <c r="B300" s="106"/>
      <c r="C300" s="109"/>
      <c r="D300" s="111"/>
      <c r="E300" s="102" t="s">
        <v>81</v>
      </c>
      <c r="F300" s="306">
        <f>F285+F286+F293+F295+F296+F297+F298+F299</f>
        <v>0</v>
      </c>
      <c r="G300" s="306">
        <f>G285+G286+G293+G295+G296+G297+G298+G299</f>
        <v>52804</v>
      </c>
      <c r="H300" s="306">
        <f>H285+H286+H293+H295+H296+H297+H298+H299</f>
        <v>214329</v>
      </c>
      <c r="I300" s="105">
        <f t="shared" si="57"/>
        <v>405.89538671312778</v>
      </c>
      <c r="K300" s="370">
        <v>0</v>
      </c>
      <c r="L300" s="370">
        <v>52804694.960000001</v>
      </c>
      <c r="M300" s="370">
        <v>214328714.58000001</v>
      </c>
      <c r="N300" s="307"/>
    </row>
    <row r="301" spans="1:14" s="140" customFormat="1" ht="15" hidden="1" x14ac:dyDescent="0.25">
      <c r="A301" s="83" t="s">
        <v>70</v>
      </c>
      <c r="B301" s="94"/>
      <c r="C301" s="211">
        <v>4113</v>
      </c>
      <c r="D301" s="212"/>
      <c r="E301" s="213" t="s">
        <v>48</v>
      </c>
      <c r="F301" s="193"/>
      <c r="G301" s="159"/>
      <c r="H301" s="158"/>
      <c r="I301" s="67" t="e">
        <f t="shared" si="57"/>
        <v>#DIV/0!</v>
      </c>
      <c r="K301" s="192"/>
      <c r="L301" s="192"/>
      <c r="M301" s="192"/>
      <c r="N301" s="308"/>
    </row>
    <row r="302" spans="1:14" s="140" customFormat="1" hidden="1" x14ac:dyDescent="0.2">
      <c r="A302" s="83" t="s">
        <v>70</v>
      </c>
      <c r="B302" s="94"/>
      <c r="C302" s="211"/>
      <c r="D302" s="214" t="s">
        <v>172</v>
      </c>
      <c r="E302" s="314" t="s">
        <v>49</v>
      </c>
      <c r="F302" s="193"/>
      <c r="G302" s="160"/>
      <c r="H302" s="148"/>
      <c r="I302" s="57" t="e">
        <f t="shared" si="57"/>
        <v>#DIV/0!</v>
      </c>
      <c r="K302" s="192"/>
      <c r="L302" s="192"/>
      <c r="M302" s="192"/>
      <c r="N302" s="308"/>
    </row>
    <row r="303" spans="1:14" s="140" customFormat="1" ht="15" x14ac:dyDescent="0.25">
      <c r="A303" s="83" t="s">
        <v>70</v>
      </c>
      <c r="B303" s="94"/>
      <c r="C303" s="100">
        <v>4116</v>
      </c>
      <c r="D303" s="49"/>
      <c r="E303" s="46" t="s">
        <v>186</v>
      </c>
      <c r="F303" s="193"/>
      <c r="G303" s="159">
        <f>G304+G305</f>
        <v>36</v>
      </c>
      <c r="H303" s="190">
        <f>H304+H305</f>
        <v>1062</v>
      </c>
      <c r="I303" s="568">
        <f t="shared" ref="I303:I314" si="58">(H303/G303)*100</f>
        <v>2950</v>
      </c>
      <c r="K303" s="192"/>
      <c r="L303" s="192"/>
      <c r="M303" s="192"/>
      <c r="N303" s="308"/>
    </row>
    <row r="304" spans="1:14" s="140" customFormat="1" x14ac:dyDescent="0.2">
      <c r="A304" s="83"/>
      <c r="B304" s="94"/>
      <c r="C304" s="211"/>
      <c r="D304" s="524" t="s">
        <v>360</v>
      </c>
      <c r="E304" s="135" t="s">
        <v>362</v>
      </c>
      <c r="F304" s="193"/>
      <c r="G304" s="456">
        <v>2</v>
      </c>
      <c r="H304" s="455">
        <v>59</v>
      </c>
      <c r="I304" s="484">
        <f>(H304/G304)*100</f>
        <v>2950</v>
      </c>
      <c r="K304" s="192"/>
      <c r="L304" s="192"/>
      <c r="M304" s="192"/>
      <c r="N304" s="308"/>
    </row>
    <row r="305" spans="1:14" s="140" customFormat="1" x14ac:dyDescent="0.2">
      <c r="A305" s="83"/>
      <c r="B305" s="94"/>
      <c r="C305" s="211"/>
      <c r="D305" s="524" t="s">
        <v>361</v>
      </c>
      <c r="E305" s="135" t="s">
        <v>363</v>
      </c>
      <c r="F305" s="193"/>
      <c r="G305" s="456">
        <v>34</v>
      </c>
      <c r="H305" s="455">
        <v>1003</v>
      </c>
      <c r="I305" s="484">
        <f t="shared" si="58"/>
        <v>2950</v>
      </c>
      <c r="K305" s="192"/>
      <c r="L305" s="192"/>
      <c r="M305" s="192"/>
      <c r="N305" s="308"/>
    </row>
    <row r="306" spans="1:14" s="35" customFormat="1" ht="15" x14ac:dyDescent="0.25">
      <c r="A306" s="83" t="s">
        <v>70</v>
      </c>
      <c r="B306" s="94"/>
      <c r="C306" s="100">
        <v>4216</v>
      </c>
      <c r="D306" s="524"/>
      <c r="E306" s="50" t="s">
        <v>82</v>
      </c>
      <c r="F306" s="155"/>
      <c r="G306" s="155">
        <f>G307+G308+G309</f>
        <v>20199</v>
      </c>
      <c r="H306" s="155">
        <f>H307+H308+H309</f>
        <v>19125</v>
      </c>
      <c r="I306" s="40">
        <f t="shared" si="58"/>
        <v>94.682905094311593</v>
      </c>
      <c r="K306" s="137"/>
      <c r="L306" s="137"/>
      <c r="M306" s="137"/>
      <c r="N306" s="285"/>
    </row>
    <row r="307" spans="1:14" s="35" customFormat="1" ht="25.5" x14ac:dyDescent="0.2">
      <c r="A307" s="594"/>
      <c r="B307" s="94"/>
      <c r="C307" s="100"/>
      <c r="D307" s="524" t="s">
        <v>285</v>
      </c>
      <c r="E307" s="234" t="s">
        <v>286</v>
      </c>
      <c r="F307" s="581"/>
      <c r="G307" s="530">
        <v>11325</v>
      </c>
      <c r="H307" s="581">
        <v>11325</v>
      </c>
      <c r="I307" s="582">
        <f t="shared" si="58"/>
        <v>100</v>
      </c>
      <c r="K307" s="137"/>
      <c r="L307" s="137"/>
      <c r="M307" s="137"/>
      <c r="N307" s="285"/>
    </row>
    <row r="308" spans="1:14" s="140" customFormat="1" x14ac:dyDescent="0.2">
      <c r="A308" s="83"/>
      <c r="B308" s="94"/>
      <c r="C308" s="211"/>
      <c r="D308" s="524" t="s">
        <v>328</v>
      </c>
      <c r="E308" s="135" t="s">
        <v>329</v>
      </c>
      <c r="F308" s="193"/>
      <c r="G308" s="456">
        <v>493</v>
      </c>
      <c r="H308" s="455">
        <v>433</v>
      </c>
      <c r="I308" s="484">
        <f t="shared" si="58"/>
        <v>87.829614604462463</v>
      </c>
      <c r="K308" s="192"/>
      <c r="L308" s="192"/>
      <c r="M308" s="192"/>
      <c r="N308" s="308"/>
    </row>
    <row r="309" spans="1:14" s="140" customFormat="1" x14ac:dyDescent="0.2">
      <c r="A309" s="83"/>
      <c r="B309" s="94"/>
      <c r="C309" s="211"/>
      <c r="D309" s="524" t="s">
        <v>330</v>
      </c>
      <c r="E309" s="135" t="s">
        <v>331</v>
      </c>
      <c r="F309" s="193"/>
      <c r="G309" s="456">
        <v>8381</v>
      </c>
      <c r="H309" s="455">
        <v>7367</v>
      </c>
      <c r="I309" s="484">
        <f t="shared" ref="I309" si="59">(H309/G309)*100</f>
        <v>87.901205106789178</v>
      </c>
      <c r="K309" s="192"/>
      <c r="L309" s="192"/>
      <c r="M309" s="192"/>
      <c r="N309" s="308"/>
    </row>
    <row r="310" spans="1:14" s="140" customFormat="1" ht="15" hidden="1" x14ac:dyDescent="0.25">
      <c r="A310" s="83" t="s">
        <v>70</v>
      </c>
      <c r="B310" s="94">
        <v>3122</v>
      </c>
      <c r="C310" s="99">
        <v>2324</v>
      </c>
      <c r="D310" s="516"/>
      <c r="E310" s="51" t="s">
        <v>18</v>
      </c>
      <c r="F310" s="158"/>
      <c r="G310" s="158">
        <v>0</v>
      </c>
      <c r="H310" s="158">
        <v>0</v>
      </c>
      <c r="I310" s="67" t="e">
        <f t="shared" si="58"/>
        <v>#DIV/0!</v>
      </c>
      <c r="K310" s="245"/>
      <c r="L310" s="245"/>
      <c r="M310" s="245"/>
      <c r="N310" s="308"/>
    </row>
    <row r="311" spans="1:14" s="140" customFormat="1" ht="15" x14ac:dyDescent="0.25">
      <c r="A311" s="83" t="s">
        <v>70</v>
      </c>
      <c r="B311" s="94">
        <v>6172</v>
      </c>
      <c r="C311" s="99">
        <v>2212</v>
      </c>
      <c r="D311" s="516"/>
      <c r="E311" s="51" t="s">
        <v>85</v>
      </c>
      <c r="F311" s="158"/>
      <c r="G311" s="158">
        <v>57</v>
      </c>
      <c r="H311" s="158">
        <v>57</v>
      </c>
      <c r="I311" s="67">
        <f t="shared" si="58"/>
        <v>100</v>
      </c>
      <c r="K311" s="245"/>
      <c r="L311" s="245"/>
      <c r="M311" s="245"/>
      <c r="N311" s="308"/>
    </row>
    <row r="312" spans="1:14" s="35" customFormat="1" ht="26.25" hidden="1" customHeight="1" x14ac:dyDescent="0.2">
      <c r="A312" s="508" t="s">
        <v>70</v>
      </c>
      <c r="B312" s="94"/>
      <c r="C312" s="449"/>
      <c r="D312" s="627"/>
      <c r="E312" s="234"/>
      <c r="F312" s="465"/>
      <c r="G312" s="528"/>
      <c r="H312" s="528"/>
      <c r="I312" s="531" t="e">
        <f t="shared" si="58"/>
        <v>#DIV/0!</v>
      </c>
      <c r="K312" s="137"/>
      <c r="L312" s="137"/>
      <c r="M312" s="137"/>
      <c r="N312" s="285"/>
    </row>
    <row r="313" spans="1:14" s="35" customFormat="1" ht="15" x14ac:dyDescent="0.25">
      <c r="A313" s="508" t="s">
        <v>70</v>
      </c>
      <c r="B313" s="94">
        <v>6330</v>
      </c>
      <c r="C313" s="449">
        <v>4134</v>
      </c>
      <c r="D313" s="627"/>
      <c r="E313" s="41" t="s">
        <v>16</v>
      </c>
      <c r="F313" s="465"/>
      <c r="G313" s="528"/>
      <c r="H313" s="188">
        <v>111681</v>
      </c>
      <c r="I313" s="590">
        <v>0</v>
      </c>
      <c r="K313" s="137"/>
      <c r="L313" s="137"/>
      <c r="M313" s="137">
        <v>111681037.19</v>
      </c>
      <c r="N313" s="285"/>
    </row>
    <row r="314" spans="1:14" s="104" customFormat="1" ht="15" customHeight="1" x14ac:dyDescent="0.2">
      <c r="A314" s="313" t="s">
        <v>70</v>
      </c>
      <c r="B314" s="106"/>
      <c r="C314" s="109"/>
      <c r="D314" s="111"/>
      <c r="E314" s="102" t="s">
        <v>81</v>
      </c>
      <c r="F314" s="306">
        <f>F306+F310+F303+F311+F313</f>
        <v>0</v>
      </c>
      <c r="G314" s="306">
        <f t="shared" ref="G314:H314" si="60">G306+G310+G303+G311+G313</f>
        <v>20292</v>
      </c>
      <c r="H314" s="306">
        <f t="shared" si="60"/>
        <v>131925</v>
      </c>
      <c r="I314" s="105">
        <f t="shared" si="58"/>
        <v>650.13305736250743</v>
      </c>
      <c r="K314" s="370">
        <v>0</v>
      </c>
      <c r="L314" s="370">
        <v>20292125.789999999</v>
      </c>
      <c r="M314" s="370">
        <v>131924755.97</v>
      </c>
      <c r="N314" s="347"/>
    </row>
    <row r="315" spans="1:14" s="35" customFormat="1" ht="15" hidden="1" x14ac:dyDescent="0.25">
      <c r="A315" s="83" t="s">
        <v>72</v>
      </c>
      <c r="B315" s="94">
        <v>3299</v>
      </c>
      <c r="C315" s="72">
        <v>2141</v>
      </c>
      <c r="D315" s="39"/>
      <c r="E315" s="53" t="s">
        <v>8</v>
      </c>
      <c r="F315" s="158"/>
      <c r="G315" s="159"/>
      <c r="H315" s="190"/>
      <c r="I315" s="56">
        <v>0</v>
      </c>
      <c r="K315" s="137"/>
      <c r="L315" s="137"/>
      <c r="M315" s="137"/>
      <c r="N315" s="285"/>
    </row>
    <row r="316" spans="1:14" s="35" customFormat="1" ht="15" hidden="1" x14ac:dyDescent="0.25">
      <c r="A316" s="83" t="s">
        <v>72</v>
      </c>
      <c r="B316" s="94">
        <v>6409</v>
      </c>
      <c r="C316" s="42">
        <v>2328</v>
      </c>
      <c r="D316" s="43"/>
      <c r="E316" s="41" t="s">
        <v>11</v>
      </c>
      <c r="F316" s="158"/>
      <c r="G316" s="159"/>
      <c r="H316" s="190"/>
      <c r="I316" s="56">
        <v>0</v>
      </c>
      <c r="K316" s="137"/>
      <c r="L316" s="137"/>
      <c r="M316" s="137"/>
      <c r="N316" s="285"/>
    </row>
    <row r="317" spans="1:14" s="431" customFormat="1" ht="15" hidden="1" thickBot="1" x14ac:dyDescent="0.25">
      <c r="A317" s="271" t="s">
        <v>72</v>
      </c>
      <c r="B317" s="272"/>
      <c r="C317" s="273"/>
      <c r="D317" s="274"/>
      <c r="E317" s="275" t="s">
        <v>81</v>
      </c>
      <c r="F317" s="385">
        <v>0</v>
      </c>
      <c r="G317" s="385">
        <f>G315+G316</f>
        <v>0</v>
      </c>
      <c r="H317" s="385">
        <f>H315+H316</f>
        <v>0</v>
      </c>
      <c r="I317" s="278">
        <v>0</v>
      </c>
      <c r="K317" s="432">
        <v>0</v>
      </c>
      <c r="L317" s="432">
        <v>0</v>
      </c>
      <c r="M317" s="432">
        <v>0</v>
      </c>
      <c r="N317" s="433"/>
    </row>
    <row r="318" spans="1:14" s="35" customFormat="1" ht="15" hidden="1" x14ac:dyDescent="0.25">
      <c r="A318" s="83" t="s">
        <v>73</v>
      </c>
      <c r="B318" s="94">
        <v>6409</v>
      </c>
      <c r="C318" s="42">
        <v>2328</v>
      </c>
      <c r="D318" s="43"/>
      <c r="E318" s="41" t="s">
        <v>11</v>
      </c>
      <c r="F318" s="158"/>
      <c r="G318" s="159"/>
      <c r="H318" s="190"/>
      <c r="I318" s="56">
        <v>0</v>
      </c>
      <c r="K318" s="137"/>
      <c r="L318" s="137"/>
      <c r="M318" s="137"/>
      <c r="N318" s="285"/>
    </row>
    <row r="319" spans="1:14" s="104" customFormat="1" hidden="1" x14ac:dyDescent="0.2">
      <c r="A319" s="313" t="s">
        <v>73</v>
      </c>
      <c r="B319" s="106"/>
      <c r="C319" s="109"/>
      <c r="D319" s="111"/>
      <c r="E319" s="102" t="s">
        <v>81</v>
      </c>
      <c r="F319" s="310">
        <v>0</v>
      </c>
      <c r="G319" s="310">
        <v>0</v>
      </c>
      <c r="H319" s="310">
        <v>0</v>
      </c>
      <c r="I319" s="105">
        <v>0</v>
      </c>
      <c r="K319" s="370">
        <v>0</v>
      </c>
      <c r="L319" s="370">
        <v>0</v>
      </c>
      <c r="M319" s="370">
        <v>0</v>
      </c>
      <c r="N319" s="307"/>
    </row>
    <row r="320" spans="1:14" s="35" customFormat="1" ht="15" hidden="1" x14ac:dyDescent="0.25">
      <c r="A320" s="83" t="s">
        <v>71</v>
      </c>
      <c r="B320" s="94">
        <v>6402</v>
      </c>
      <c r="C320" s="42">
        <v>2328</v>
      </c>
      <c r="D320" s="43"/>
      <c r="E320" s="41" t="s">
        <v>11</v>
      </c>
      <c r="F320" s="158"/>
      <c r="G320" s="159"/>
      <c r="H320" s="190"/>
      <c r="I320" s="56">
        <v>0</v>
      </c>
      <c r="K320" s="137"/>
      <c r="L320" s="137"/>
      <c r="M320" s="137"/>
      <c r="N320" s="285"/>
    </row>
    <row r="321" spans="1:14" s="104" customFormat="1" hidden="1" x14ac:dyDescent="0.2">
      <c r="A321" s="313" t="s">
        <v>71</v>
      </c>
      <c r="B321" s="106"/>
      <c r="C321" s="109"/>
      <c r="D321" s="111"/>
      <c r="E321" s="102" t="s">
        <v>81</v>
      </c>
      <c r="F321" s="310">
        <v>0</v>
      </c>
      <c r="G321" s="310">
        <v>0</v>
      </c>
      <c r="H321" s="397">
        <f>H320</f>
        <v>0</v>
      </c>
      <c r="I321" s="105">
        <v>0</v>
      </c>
      <c r="K321" s="370">
        <v>0</v>
      </c>
      <c r="L321" s="370">
        <v>0</v>
      </c>
      <c r="M321" s="370">
        <v>0</v>
      </c>
      <c r="N321" s="307"/>
    </row>
    <row r="322" spans="1:14" s="140" customFormat="1" ht="15" hidden="1" x14ac:dyDescent="0.25">
      <c r="A322" s="209" t="s">
        <v>74</v>
      </c>
      <c r="B322" s="210"/>
      <c r="C322" s="211">
        <v>4113</v>
      </c>
      <c r="D322" s="212"/>
      <c r="E322" s="213" t="s">
        <v>48</v>
      </c>
      <c r="F322" s="158"/>
      <c r="G322" s="158"/>
      <c r="H322" s="158"/>
      <c r="I322" s="143" t="e">
        <f t="shared" ref="I322:I323" si="61">(H322/G322)*100</f>
        <v>#DIV/0!</v>
      </c>
      <c r="K322" s="192"/>
      <c r="L322" s="192"/>
      <c r="M322" s="192"/>
      <c r="N322" s="308"/>
    </row>
    <row r="323" spans="1:14" s="140" customFormat="1" ht="15" hidden="1" x14ac:dyDescent="0.25">
      <c r="A323" s="209" t="s">
        <v>74</v>
      </c>
      <c r="B323" s="210"/>
      <c r="C323" s="211"/>
      <c r="D323" s="214" t="s">
        <v>172</v>
      </c>
      <c r="E323" s="314" t="s">
        <v>49</v>
      </c>
      <c r="F323" s="158"/>
      <c r="G323" s="160"/>
      <c r="H323" s="197"/>
      <c r="I323" s="175" t="e">
        <f t="shared" si="61"/>
        <v>#DIV/0!</v>
      </c>
      <c r="K323" s="192"/>
      <c r="L323" s="192"/>
      <c r="M323" s="192"/>
      <c r="N323" s="308"/>
    </row>
    <row r="324" spans="1:14" s="116" customFormat="1" ht="15" x14ac:dyDescent="0.25">
      <c r="A324" s="83" t="s">
        <v>74</v>
      </c>
      <c r="B324" s="94"/>
      <c r="C324" s="100">
        <v>4116</v>
      </c>
      <c r="D324" s="49"/>
      <c r="E324" s="46" t="s">
        <v>186</v>
      </c>
      <c r="F324" s="158">
        <f>F325</f>
        <v>0</v>
      </c>
      <c r="G324" s="158">
        <f t="shared" ref="G324:H324" si="62">G325</f>
        <v>2100</v>
      </c>
      <c r="H324" s="158">
        <f t="shared" si="62"/>
        <v>1777</v>
      </c>
      <c r="I324" s="56">
        <f>(H324/G324)*100</f>
        <v>84.61904761904762</v>
      </c>
      <c r="K324" s="246"/>
      <c r="L324" s="246"/>
      <c r="M324" s="246"/>
      <c r="N324" s="315"/>
    </row>
    <row r="325" spans="1:14" s="116" customFormat="1" ht="25.5" x14ac:dyDescent="0.2">
      <c r="A325" s="595"/>
      <c r="B325" s="115"/>
      <c r="C325" s="118"/>
      <c r="D325" s="524" t="s">
        <v>364</v>
      </c>
      <c r="E325" s="234" t="s">
        <v>365</v>
      </c>
      <c r="F325" s="465"/>
      <c r="G325" s="581">
        <v>2100</v>
      </c>
      <c r="H325" s="530">
        <v>1777</v>
      </c>
      <c r="I325" s="532">
        <f>(H325/G325)*100</f>
        <v>84.61904761904762</v>
      </c>
      <c r="K325" s="246"/>
      <c r="L325" s="246"/>
      <c r="M325" s="246"/>
      <c r="N325" s="315"/>
    </row>
    <row r="326" spans="1:14" s="116" customFormat="1" ht="15" hidden="1" x14ac:dyDescent="0.25">
      <c r="A326" s="120" t="s">
        <v>74</v>
      </c>
      <c r="B326" s="115"/>
      <c r="C326" s="100">
        <v>4123</v>
      </c>
      <c r="D326" s="49"/>
      <c r="E326" s="50" t="s">
        <v>209</v>
      </c>
      <c r="F326" s="155">
        <f>F327+F328</f>
        <v>0</v>
      </c>
      <c r="G326" s="155">
        <f t="shared" ref="G326:H326" si="63">G327+G328</f>
        <v>0</v>
      </c>
      <c r="H326" s="155">
        <f t="shared" si="63"/>
        <v>0</v>
      </c>
      <c r="I326" s="56" t="e">
        <f t="shared" ref="I326:I327" si="64">(H326/G326)*100</f>
        <v>#DIV/0!</v>
      </c>
      <c r="K326" s="246"/>
      <c r="L326" s="246"/>
      <c r="M326" s="246"/>
      <c r="N326" s="315"/>
    </row>
    <row r="327" spans="1:14" s="116" customFormat="1" hidden="1" x14ac:dyDescent="0.2">
      <c r="A327" s="120" t="s">
        <v>74</v>
      </c>
      <c r="B327" s="115"/>
      <c r="C327" s="118"/>
      <c r="D327" s="517" t="s">
        <v>173</v>
      </c>
      <c r="E327" s="135" t="s">
        <v>50</v>
      </c>
      <c r="F327" s="455"/>
      <c r="G327" s="455"/>
      <c r="H327" s="456"/>
      <c r="I327" s="484" t="e">
        <f t="shared" si="64"/>
        <v>#DIV/0!</v>
      </c>
      <c r="K327" s="246"/>
      <c r="L327" s="246"/>
      <c r="M327" s="246"/>
      <c r="N327" s="315"/>
    </row>
    <row r="328" spans="1:14" s="116" customFormat="1" hidden="1" x14ac:dyDescent="0.2">
      <c r="A328" s="120" t="s">
        <v>74</v>
      </c>
      <c r="B328" s="115"/>
      <c r="C328" s="277"/>
      <c r="D328" s="61" t="s">
        <v>140</v>
      </c>
      <c r="E328" s="135" t="s">
        <v>130</v>
      </c>
      <c r="F328" s="455"/>
      <c r="G328" s="455"/>
      <c r="H328" s="456"/>
      <c r="I328" s="484">
        <v>0</v>
      </c>
      <c r="K328" s="246"/>
      <c r="L328" s="246"/>
      <c r="M328" s="246"/>
      <c r="N328" s="315"/>
    </row>
    <row r="329" spans="1:14" s="116" customFormat="1" ht="15" hidden="1" x14ac:dyDescent="0.25">
      <c r="A329" s="120" t="s">
        <v>74</v>
      </c>
      <c r="B329" s="115"/>
      <c r="C329" s="100">
        <v>4216</v>
      </c>
      <c r="D329" s="49"/>
      <c r="E329" s="50" t="s">
        <v>82</v>
      </c>
      <c r="F329" s="155">
        <f>F330+F332+F331</f>
        <v>0</v>
      </c>
      <c r="G329" s="155">
        <f t="shared" ref="G329:H329" si="65">G330+G332+G331</f>
        <v>0</v>
      </c>
      <c r="H329" s="155">
        <f t="shared" si="65"/>
        <v>0</v>
      </c>
      <c r="I329" s="56" t="e">
        <f>H329/G329*100</f>
        <v>#DIV/0!</v>
      </c>
      <c r="K329" s="246"/>
      <c r="L329" s="246"/>
      <c r="M329" s="246"/>
      <c r="N329" s="315"/>
    </row>
    <row r="330" spans="1:14" s="116" customFormat="1" ht="30" hidden="1" customHeight="1" x14ac:dyDescent="0.2">
      <c r="A330" s="150" t="s">
        <v>74</v>
      </c>
      <c r="B330" s="115"/>
      <c r="C330" s="277"/>
      <c r="D330" s="515" t="s">
        <v>276</v>
      </c>
      <c r="E330" s="234" t="s">
        <v>277</v>
      </c>
      <c r="F330" s="465"/>
      <c r="G330" s="528"/>
      <c r="H330" s="530"/>
      <c r="I330" s="531" t="e">
        <f>H330/G330*100</f>
        <v>#DIV/0!</v>
      </c>
      <c r="K330" s="246"/>
      <c r="L330" s="246"/>
      <c r="M330" s="246"/>
      <c r="N330" s="315"/>
    </row>
    <row r="331" spans="1:14" s="116" customFormat="1" ht="30" hidden="1" customHeight="1" x14ac:dyDescent="0.2">
      <c r="A331" s="150" t="s">
        <v>74</v>
      </c>
      <c r="B331" s="115"/>
      <c r="C331" s="277"/>
      <c r="D331" s="515" t="s">
        <v>202</v>
      </c>
      <c r="E331" s="234" t="s">
        <v>234</v>
      </c>
      <c r="F331" s="465"/>
      <c r="G331" s="528"/>
      <c r="H331" s="530"/>
      <c r="I331" s="531" t="e">
        <f t="shared" ref="I331:I332" si="66">H331/G331*100</f>
        <v>#DIV/0!</v>
      </c>
      <c r="K331" s="246"/>
      <c r="L331" s="246"/>
      <c r="M331" s="246"/>
      <c r="N331" s="315"/>
    </row>
    <row r="332" spans="1:14" s="116" customFormat="1" ht="30" hidden="1" customHeight="1" x14ac:dyDescent="0.2">
      <c r="A332" s="150" t="s">
        <v>74</v>
      </c>
      <c r="B332" s="115"/>
      <c r="C332" s="277"/>
      <c r="D332" s="515" t="s">
        <v>278</v>
      </c>
      <c r="E332" s="234" t="s">
        <v>279</v>
      </c>
      <c r="F332" s="465"/>
      <c r="G332" s="528"/>
      <c r="H332" s="530"/>
      <c r="I332" s="531" t="e">
        <f t="shared" si="66"/>
        <v>#DIV/0!</v>
      </c>
      <c r="K332" s="246"/>
      <c r="L332" s="246"/>
      <c r="M332" s="246"/>
      <c r="N332" s="315"/>
    </row>
    <row r="333" spans="1:14" s="35" customFormat="1" ht="15" hidden="1" x14ac:dyDescent="0.25">
      <c r="A333" s="83" t="s">
        <v>74</v>
      </c>
      <c r="B333" s="94"/>
      <c r="C333" s="99">
        <v>4223</v>
      </c>
      <c r="D333" s="61"/>
      <c r="E333" s="51" t="s">
        <v>52</v>
      </c>
      <c r="F333" s="158">
        <f>F334</f>
        <v>0</v>
      </c>
      <c r="G333" s="158">
        <f t="shared" ref="G333:H333" si="67">G334</f>
        <v>0</v>
      </c>
      <c r="H333" s="158">
        <f t="shared" si="67"/>
        <v>0</v>
      </c>
      <c r="I333" s="56" t="e">
        <f t="shared" ref="I333:I339" si="68">(H333/G333)*100</f>
        <v>#DIV/0!</v>
      </c>
      <c r="K333" s="137"/>
      <c r="L333" s="137"/>
      <c r="M333" s="137"/>
      <c r="N333" s="285"/>
    </row>
    <row r="334" spans="1:14" s="35" customFormat="1" ht="12.75" hidden="1" x14ac:dyDescent="0.2">
      <c r="A334" s="83" t="s">
        <v>74</v>
      </c>
      <c r="B334" s="94"/>
      <c r="C334" s="99"/>
      <c r="D334" s="517" t="s">
        <v>140</v>
      </c>
      <c r="E334" s="135" t="s">
        <v>130</v>
      </c>
      <c r="F334" s="455"/>
      <c r="G334" s="456"/>
      <c r="H334" s="488"/>
      <c r="I334" s="484" t="e">
        <f t="shared" si="68"/>
        <v>#DIV/0!</v>
      </c>
      <c r="K334" s="137"/>
      <c r="L334" s="137"/>
      <c r="M334" s="137"/>
      <c r="N334" s="285"/>
    </row>
    <row r="335" spans="1:14" s="35" customFormat="1" ht="15" x14ac:dyDescent="0.25">
      <c r="A335" s="83" t="s">
        <v>74</v>
      </c>
      <c r="B335" s="94">
        <v>6330</v>
      </c>
      <c r="C335" s="42">
        <v>4134</v>
      </c>
      <c r="D335" s="48"/>
      <c r="E335" s="41" t="s">
        <v>16</v>
      </c>
      <c r="F335" s="158"/>
      <c r="G335" s="159"/>
      <c r="H335" s="190">
        <v>5311</v>
      </c>
      <c r="I335" s="56">
        <v>0</v>
      </c>
      <c r="K335" s="137"/>
      <c r="L335" s="137"/>
      <c r="M335" s="137">
        <v>5311030.5</v>
      </c>
      <c r="N335" s="285"/>
    </row>
    <row r="336" spans="1:14" s="104" customFormat="1" ht="15" customHeight="1" x14ac:dyDescent="0.2">
      <c r="A336" s="313" t="s">
        <v>74</v>
      </c>
      <c r="B336" s="106"/>
      <c r="C336" s="109"/>
      <c r="D336" s="111"/>
      <c r="E336" s="102" t="s">
        <v>81</v>
      </c>
      <c r="F336" s="310">
        <f>F324+F326+F329+F333+F335</f>
        <v>0</v>
      </c>
      <c r="G336" s="310">
        <f t="shared" ref="G336:H336" si="69">G324+G326+G329+G333+G335</f>
        <v>2100</v>
      </c>
      <c r="H336" s="310">
        <f t="shared" si="69"/>
        <v>7088</v>
      </c>
      <c r="I336" s="105">
        <f t="shared" si="68"/>
        <v>337.52380952380952</v>
      </c>
      <c r="K336" s="370">
        <v>0</v>
      </c>
      <c r="L336" s="370">
        <v>2100000</v>
      </c>
      <c r="M336" s="370">
        <v>7088167.5</v>
      </c>
      <c r="N336" s="347"/>
    </row>
    <row r="337" spans="1:14" s="35" customFormat="1" ht="15" x14ac:dyDescent="0.25">
      <c r="A337" s="83" t="s">
        <v>75</v>
      </c>
      <c r="B337" s="94"/>
      <c r="C337" s="42">
        <v>4116</v>
      </c>
      <c r="D337" s="49"/>
      <c r="E337" s="46" t="s">
        <v>186</v>
      </c>
      <c r="F337" s="158">
        <v>0</v>
      </c>
      <c r="G337" s="158">
        <f>G338+G339+G340</f>
        <v>108185</v>
      </c>
      <c r="H337" s="158">
        <f>H338+H339</f>
        <v>108185</v>
      </c>
      <c r="I337" s="56">
        <f t="shared" si="68"/>
        <v>100</v>
      </c>
      <c r="K337" s="348"/>
      <c r="L337" s="348"/>
      <c r="M337" s="348"/>
      <c r="N337" s="349"/>
    </row>
    <row r="338" spans="1:14" s="35" customFormat="1" ht="12.75" x14ac:dyDescent="0.2">
      <c r="A338" s="83"/>
      <c r="B338" s="94"/>
      <c r="C338" s="42"/>
      <c r="D338" s="517" t="s">
        <v>231</v>
      </c>
      <c r="E338" s="317" t="s">
        <v>280</v>
      </c>
      <c r="F338" s="455"/>
      <c r="G338" s="455">
        <v>11388</v>
      </c>
      <c r="H338" s="490">
        <v>11388</v>
      </c>
      <c r="I338" s="454">
        <f t="shared" si="68"/>
        <v>100</v>
      </c>
      <c r="K338" s="137"/>
      <c r="L338" s="137"/>
      <c r="M338" s="137"/>
      <c r="N338" s="285"/>
    </row>
    <row r="339" spans="1:14" s="35" customFormat="1" ht="12.75" x14ac:dyDescent="0.2">
      <c r="A339" s="83"/>
      <c r="B339" s="94"/>
      <c r="C339" s="42"/>
      <c r="D339" s="517" t="s">
        <v>232</v>
      </c>
      <c r="E339" s="317" t="s">
        <v>280</v>
      </c>
      <c r="F339" s="455"/>
      <c r="G339" s="455">
        <v>96797</v>
      </c>
      <c r="H339" s="490">
        <v>96797</v>
      </c>
      <c r="I339" s="454">
        <f t="shared" si="68"/>
        <v>100</v>
      </c>
      <c r="K339" s="137"/>
      <c r="L339" s="137"/>
      <c r="M339" s="137"/>
      <c r="N339" s="285"/>
    </row>
    <row r="340" spans="1:14" s="35" customFormat="1" ht="15" x14ac:dyDescent="0.25">
      <c r="A340" s="83" t="s">
        <v>75</v>
      </c>
      <c r="B340" s="94">
        <v>6330</v>
      </c>
      <c r="C340" s="42">
        <v>4134</v>
      </c>
      <c r="D340" s="49"/>
      <c r="E340" s="41" t="s">
        <v>16</v>
      </c>
      <c r="F340" s="158"/>
      <c r="G340" s="148"/>
      <c r="H340" s="386">
        <v>113979</v>
      </c>
      <c r="I340" s="16">
        <v>0</v>
      </c>
      <c r="K340" s="348"/>
      <c r="L340" s="348"/>
      <c r="M340" s="348">
        <v>113979568.38</v>
      </c>
      <c r="N340" s="285"/>
    </row>
    <row r="341" spans="1:14" s="104" customFormat="1" ht="15" customHeight="1" x14ac:dyDescent="0.2">
      <c r="A341" s="313" t="s">
        <v>75</v>
      </c>
      <c r="B341" s="106"/>
      <c r="C341" s="109"/>
      <c r="D341" s="111"/>
      <c r="E341" s="102" t="s">
        <v>81</v>
      </c>
      <c r="F341" s="310">
        <v>0</v>
      </c>
      <c r="G341" s="310">
        <f>G337</f>
        <v>108185</v>
      </c>
      <c r="H341" s="397">
        <f>H337+H340</f>
        <v>222164</v>
      </c>
      <c r="I341" s="105">
        <f t="shared" ref="I341" si="70">(H341/G341)*100</f>
        <v>205.35564080048067</v>
      </c>
      <c r="K341" s="370">
        <v>0</v>
      </c>
      <c r="L341" s="370">
        <v>108184468.48</v>
      </c>
      <c r="M341" s="370">
        <v>222164036.86000001</v>
      </c>
      <c r="N341" s="307"/>
    </row>
    <row r="342" spans="1:14" s="35" customFormat="1" ht="15" hidden="1" customHeight="1" x14ac:dyDescent="0.25">
      <c r="A342" s="83" t="s">
        <v>76</v>
      </c>
      <c r="B342" s="94"/>
      <c r="C342" s="119">
        <v>4216</v>
      </c>
      <c r="D342" s="60"/>
      <c r="E342" s="50" t="s">
        <v>90</v>
      </c>
      <c r="F342" s="158"/>
      <c r="G342" s="188">
        <f>G343+G344</f>
        <v>0</v>
      </c>
      <c r="H342" s="200">
        <f>H343+H344</f>
        <v>0</v>
      </c>
      <c r="I342" s="16" t="e">
        <f t="shared" ref="I342:I346" si="71">(H342/G342)*100</f>
        <v>#DIV/0!</v>
      </c>
      <c r="K342" s="137"/>
      <c r="L342" s="137"/>
      <c r="M342" s="137"/>
      <c r="N342" s="285"/>
    </row>
    <row r="343" spans="1:14" s="35" customFormat="1" ht="15" hidden="1" customHeight="1" x14ac:dyDescent="0.25">
      <c r="A343" s="83" t="s">
        <v>76</v>
      </c>
      <c r="B343" s="97"/>
      <c r="C343" s="42"/>
      <c r="D343" s="49" t="s">
        <v>175</v>
      </c>
      <c r="E343" s="316" t="s">
        <v>115</v>
      </c>
      <c r="F343" s="158"/>
      <c r="G343" s="198"/>
      <c r="H343" s="199"/>
      <c r="I343" s="1" t="e">
        <f t="shared" si="71"/>
        <v>#DIV/0!</v>
      </c>
      <c r="K343" s="137"/>
      <c r="L343" s="137"/>
      <c r="M343" s="137"/>
      <c r="N343" s="285"/>
    </row>
    <row r="344" spans="1:14" s="35" customFormat="1" ht="15" hidden="1" customHeight="1" x14ac:dyDescent="0.25">
      <c r="A344" s="83" t="s">
        <v>76</v>
      </c>
      <c r="B344" s="97"/>
      <c r="C344" s="42"/>
      <c r="D344" s="49" t="s">
        <v>176</v>
      </c>
      <c r="E344" s="316" t="s">
        <v>115</v>
      </c>
      <c r="F344" s="158"/>
      <c r="G344" s="198"/>
      <c r="H344" s="199"/>
      <c r="I344" s="1" t="e">
        <f t="shared" si="71"/>
        <v>#DIV/0!</v>
      </c>
      <c r="K344" s="137"/>
      <c r="L344" s="137"/>
      <c r="M344" s="137"/>
      <c r="N344" s="285"/>
    </row>
    <row r="345" spans="1:14" s="35" customFormat="1" ht="15" hidden="1" customHeight="1" x14ac:dyDescent="0.25">
      <c r="A345" s="83" t="s">
        <v>76</v>
      </c>
      <c r="B345" s="94">
        <v>3299</v>
      </c>
      <c r="C345" s="449">
        <v>2123</v>
      </c>
      <c r="D345" s="49"/>
      <c r="E345" s="55" t="s">
        <v>141</v>
      </c>
      <c r="F345" s="158"/>
      <c r="G345" s="491"/>
      <c r="H345" s="235"/>
      <c r="I345" s="16" t="e">
        <f>H345/G345*100</f>
        <v>#DIV/0!</v>
      </c>
      <c r="K345" s="137"/>
      <c r="L345" s="137"/>
      <c r="M345" s="137"/>
      <c r="N345" s="285"/>
    </row>
    <row r="346" spans="1:14" s="35" customFormat="1" ht="15" hidden="1" x14ac:dyDescent="0.25">
      <c r="A346" s="83" t="s">
        <v>76</v>
      </c>
      <c r="B346" s="94">
        <v>3299</v>
      </c>
      <c r="C346" s="42">
        <v>2212</v>
      </c>
      <c r="D346" s="49"/>
      <c r="E346" s="52" t="s">
        <v>85</v>
      </c>
      <c r="F346" s="158"/>
      <c r="G346" s="158"/>
      <c r="H346" s="158"/>
      <c r="I346" s="16" t="e">
        <f t="shared" si="71"/>
        <v>#DIV/0!</v>
      </c>
      <c r="K346" s="137"/>
      <c r="L346" s="137"/>
      <c r="M346" s="319"/>
      <c r="N346" s="285"/>
    </row>
    <row r="347" spans="1:14" s="35" customFormat="1" ht="15" x14ac:dyDescent="0.25">
      <c r="A347" s="83" t="s">
        <v>76</v>
      </c>
      <c r="B347" s="94">
        <v>6330</v>
      </c>
      <c r="C347" s="588">
        <v>4134</v>
      </c>
      <c r="D347" s="49"/>
      <c r="E347" s="41" t="s">
        <v>16</v>
      </c>
      <c r="F347" s="158"/>
      <c r="G347" s="158"/>
      <c r="H347" s="158">
        <v>3</v>
      </c>
      <c r="I347" s="16">
        <v>0</v>
      </c>
      <c r="K347" s="137"/>
      <c r="L347" s="137"/>
      <c r="M347" s="319"/>
      <c r="N347" s="285"/>
    </row>
    <row r="348" spans="1:14" s="104" customFormat="1" x14ac:dyDescent="0.2">
      <c r="A348" s="313" t="s">
        <v>76</v>
      </c>
      <c r="B348" s="109"/>
      <c r="C348" s="109"/>
      <c r="D348" s="111"/>
      <c r="E348" s="102" t="s">
        <v>81</v>
      </c>
      <c r="F348" s="310">
        <f>F345+F346+F347</f>
        <v>0</v>
      </c>
      <c r="G348" s="310">
        <f t="shared" ref="G348:H348" si="72">G345+G346+G347</f>
        <v>0</v>
      </c>
      <c r="H348" s="310">
        <f t="shared" si="72"/>
        <v>3</v>
      </c>
      <c r="I348" s="105">
        <v>0</v>
      </c>
      <c r="K348" s="370">
        <v>0</v>
      </c>
      <c r="L348" s="370">
        <v>0</v>
      </c>
      <c r="M348" s="370">
        <v>2852</v>
      </c>
      <c r="N348" s="307"/>
    </row>
    <row r="349" spans="1:14" s="116" customFormat="1" ht="15" x14ac:dyDescent="0.25">
      <c r="A349" s="122" t="s">
        <v>91</v>
      </c>
      <c r="B349" s="117"/>
      <c r="C349" s="42">
        <v>4116</v>
      </c>
      <c r="D349" s="49"/>
      <c r="E349" s="46" t="s">
        <v>186</v>
      </c>
      <c r="F349" s="201">
        <f>F350+F351</f>
        <v>0</v>
      </c>
      <c r="G349" s="201">
        <f>G350+G351</f>
        <v>4982</v>
      </c>
      <c r="H349" s="201">
        <f>H350+H351</f>
        <v>4982</v>
      </c>
      <c r="I349" s="16">
        <f t="shared" ref="I349:I354" si="73">(H349/G349)*100</f>
        <v>100</v>
      </c>
      <c r="K349" s="246"/>
      <c r="L349" s="246"/>
      <c r="M349" s="246"/>
      <c r="N349" s="315"/>
    </row>
    <row r="350" spans="1:14" s="116" customFormat="1" ht="13.5" customHeight="1" x14ac:dyDescent="0.2">
      <c r="A350" s="120"/>
      <c r="B350" s="121"/>
      <c r="C350" s="117"/>
      <c r="D350" s="517" t="s">
        <v>231</v>
      </c>
      <c r="E350" s="234" t="s">
        <v>280</v>
      </c>
      <c r="F350" s="492"/>
      <c r="G350" s="492">
        <v>524</v>
      </c>
      <c r="H350" s="492">
        <v>524</v>
      </c>
      <c r="I350" s="454">
        <f t="shared" si="73"/>
        <v>100</v>
      </c>
      <c r="K350" s="246"/>
      <c r="L350" s="246"/>
      <c r="M350" s="246"/>
      <c r="N350" s="315"/>
    </row>
    <row r="351" spans="1:14" s="116" customFormat="1" x14ac:dyDescent="0.2">
      <c r="A351" s="120"/>
      <c r="B351" s="121"/>
      <c r="C351" s="117"/>
      <c r="D351" s="517" t="s">
        <v>232</v>
      </c>
      <c r="E351" s="234" t="s">
        <v>280</v>
      </c>
      <c r="F351" s="202"/>
      <c r="G351" s="492">
        <v>4458</v>
      </c>
      <c r="H351" s="492">
        <v>4458</v>
      </c>
      <c r="I351" s="454">
        <f t="shared" si="73"/>
        <v>100</v>
      </c>
      <c r="K351" s="246"/>
      <c r="L351" s="246"/>
      <c r="M351" s="246"/>
      <c r="N351" s="315"/>
    </row>
    <row r="352" spans="1:14" s="116" customFormat="1" ht="15" x14ac:dyDescent="0.25">
      <c r="A352" s="120" t="s">
        <v>91</v>
      </c>
      <c r="B352" s="117"/>
      <c r="C352" s="557">
        <v>4216</v>
      </c>
      <c r="D352" s="49"/>
      <c r="E352" s="50" t="s">
        <v>82</v>
      </c>
      <c r="F352" s="158">
        <f>F353+F354</f>
        <v>0</v>
      </c>
      <c r="G352" s="158">
        <f t="shared" ref="G352:H352" si="74">G353+G354</f>
        <v>2041</v>
      </c>
      <c r="H352" s="158">
        <f t="shared" si="74"/>
        <v>2041</v>
      </c>
      <c r="I352" s="16">
        <f t="shared" si="73"/>
        <v>100</v>
      </c>
      <c r="K352" s="246"/>
      <c r="L352" s="246"/>
      <c r="M352" s="246"/>
      <c r="N352" s="315"/>
    </row>
    <row r="353" spans="1:14" s="116" customFormat="1" x14ac:dyDescent="0.2">
      <c r="A353" s="150"/>
      <c r="B353" s="121"/>
      <c r="C353" s="118"/>
      <c r="D353" s="60" t="s">
        <v>231</v>
      </c>
      <c r="E353" s="234" t="s">
        <v>280</v>
      </c>
      <c r="F353" s="202"/>
      <c r="G353" s="493">
        <v>215</v>
      </c>
      <c r="H353" s="493">
        <v>215</v>
      </c>
      <c r="I353" s="454">
        <f t="shared" si="73"/>
        <v>100</v>
      </c>
      <c r="K353" s="246"/>
      <c r="L353" s="246"/>
      <c r="M353" s="246"/>
      <c r="N353" s="315"/>
    </row>
    <row r="354" spans="1:14" s="116" customFormat="1" x14ac:dyDescent="0.2">
      <c r="A354" s="150"/>
      <c r="B354" s="121"/>
      <c r="C354" s="118"/>
      <c r="D354" s="60" t="s">
        <v>232</v>
      </c>
      <c r="E354" s="234" t="s">
        <v>280</v>
      </c>
      <c r="F354" s="202"/>
      <c r="G354" s="493">
        <v>1826</v>
      </c>
      <c r="H354" s="493">
        <v>1826</v>
      </c>
      <c r="I354" s="454">
        <f t="shared" si="73"/>
        <v>100</v>
      </c>
      <c r="K354" s="246"/>
      <c r="L354" s="246"/>
      <c r="M354" s="246"/>
      <c r="N354" s="315"/>
    </row>
    <row r="355" spans="1:14" s="116" customFormat="1" ht="15" x14ac:dyDescent="0.25">
      <c r="A355" s="150" t="s">
        <v>91</v>
      </c>
      <c r="B355" s="94">
        <v>6330</v>
      </c>
      <c r="C355" s="588">
        <v>4134</v>
      </c>
      <c r="D355" s="49"/>
      <c r="E355" s="41" t="s">
        <v>16</v>
      </c>
      <c r="F355" s="202"/>
      <c r="G355" s="493"/>
      <c r="H355" s="591">
        <v>17748</v>
      </c>
      <c r="I355" s="16">
        <v>0</v>
      </c>
      <c r="K355" s="246"/>
      <c r="L355" s="246"/>
      <c r="M355" s="246">
        <v>17748083.850000001</v>
      </c>
      <c r="N355" s="315"/>
    </row>
    <row r="356" spans="1:14" s="104" customFormat="1" x14ac:dyDescent="0.2">
      <c r="A356" s="313" t="s">
        <v>91</v>
      </c>
      <c r="B356" s="109"/>
      <c r="C356" s="109"/>
      <c r="D356" s="111"/>
      <c r="E356" s="102" t="s">
        <v>81</v>
      </c>
      <c r="F356" s="310">
        <f>F349+F352+F355</f>
        <v>0</v>
      </c>
      <c r="G356" s="310">
        <f t="shared" ref="G356:H356" si="75">G349+G352+G355</f>
        <v>7023</v>
      </c>
      <c r="H356" s="310">
        <f t="shared" si="75"/>
        <v>24771</v>
      </c>
      <c r="I356" s="105">
        <f>(H356/G356)*100</f>
        <v>352.71251601879538</v>
      </c>
      <c r="K356" s="370">
        <v>0</v>
      </c>
      <c r="L356" s="370">
        <v>7023408.3399999999</v>
      </c>
      <c r="M356" s="370">
        <v>24771492.190000001</v>
      </c>
      <c r="N356" s="307"/>
    </row>
    <row r="357" spans="1:14" s="140" customFormat="1" ht="15" hidden="1" x14ac:dyDescent="0.25">
      <c r="A357" s="141" t="s">
        <v>100</v>
      </c>
      <c r="B357" s="206">
        <v>3299</v>
      </c>
      <c r="C357" s="142">
        <v>2123</v>
      </c>
      <c r="D357" s="139"/>
      <c r="E357" s="55" t="s">
        <v>141</v>
      </c>
      <c r="F357" s="158"/>
      <c r="G357" s="158"/>
      <c r="H357" s="158"/>
      <c r="I357" s="16" t="e">
        <f t="shared" ref="I357" si="76">(H357/G357)*100</f>
        <v>#DIV/0!</v>
      </c>
      <c r="K357" s="192"/>
      <c r="L357" s="192"/>
      <c r="M357" s="192"/>
      <c r="N357" s="308"/>
    </row>
    <row r="358" spans="1:14" s="140" customFormat="1" ht="15" hidden="1" x14ac:dyDescent="0.25">
      <c r="A358" s="141" t="s">
        <v>100</v>
      </c>
      <c r="B358" s="320">
        <v>3299</v>
      </c>
      <c r="C358" s="142">
        <v>2141</v>
      </c>
      <c r="D358" s="139"/>
      <c r="E358" s="53" t="s">
        <v>8</v>
      </c>
      <c r="F358" s="158"/>
      <c r="G358" s="158"/>
      <c r="H358" s="158">
        <v>0</v>
      </c>
      <c r="I358" s="16">
        <v>0</v>
      </c>
      <c r="K358" s="192"/>
      <c r="L358" s="192"/>
      <c r="M358" s="192"/>
      <c r="N358" s="308"/>
    </row>
    <row r="359" spans="1:14" s="140" customFormat="1" ht="15" hidden="1" x14ac:dyDescent="0.25">
      <c r="A359" s="141" t="s">
        <v>100</v>
      </c>
      <c r="B359" s="320">
        <v>3299</v>
      </c>
      <c r="C359" s="142">
        <v>2212</v>
      </c>
      <c r="D359" s="139"/>
      <c r="E359" s="52" t="s">
        <v>85</v>
      </c>
      <c r="F359" s="158"/>
      <c r="G359" s="158"/>
      <c r="H359" s="158"/>
      <c r="I359" s="16" t="e">
        <f t="shared" ref="I359:I361" si="77">(H359/G359)*100</f>
        <v>#DIV/0!</v>
      </c>
      <c r="K359" s="192"/>
      <c r="L359" s="192"/>
      <c r="M359" s="192"/>
      <c r="N359" s="308"/>
    </row>
    <row r="360" spans="1:14" s="140" customFormat="1" ht="15" hidden="1" x14ac:dyDescent="0.25">
      <c r="A360" s="141" t="s">
        <v>100</v>
      </c>
      <c r="B360" s="320">
        <v>6402</v>
      </c>
      <c r="C360" s="142">
        <v>2223</v>
      </c>
      <c r="D360" s="139"/>
      <c r="E360" s="54" t="s">
        <v>35</v>
      </c>
      <c r="F360" s="158"/>
      <c r="G360" s="158"/>
      <c r="H360" s="158"/>
      <c r="I360" s="16" t="e">
        <f t="shared" si="77"/>
        <v>#DIV/0!</v>
      </c>
      <c r="K360" s="192"/>
      <c r="L360" s="192"/>
      <c r="M360" s="192"/>
      <c r="N360" s="308"/>
    </row>
    <row r="361" spans="1:14" s="140" customFormat="1" ht="15" hidden="1" x14ac:dyDescent="0.25">
      <c r="A361" s="141" t="s">
        <v>100</v>
      </c>
      <c r="B361" s="320">
        <v>6402</v>
      </c>
      <c r="C361" s="142">
        <v>2229</v>
      </c>
      <c r="D361" s="139"/>
      <c r="E361" s="46" t="s">
        <v>29</v>
      </c>
      <c r="F361" s="158"/>
      <c r="G361" s="158"/>
      <c r="H361" s="158"/>
      <c r="I361" s="16" t="e">
        <f t="shared" si="77"/>
        <v>#DIV/0!</v>
      </c>
      <c r="K361" s="192"/>
      <c r="L361" s="192"/>
      <c r="M361" s="192"/>
      <c r="N361" s="308"/>
    </row>
    <row r="362" spans="1:14" s="104" customFormat="1" hidden="1" x14ac:dyDescent="0.2">
      <c r="A362" s="313" t="s">
        <v>100</v>
      </c>
      <c r="B362" s="109"/>
      <c r="C362" s="109"/>
      <c r="D362" s="111"/>
      <c r="E362" s="102" t="s">
        <v>81</v>
      </c>
      <c r="F362" s="310">
        <f>F357+F358</f>
        <v>0</v>
      </c>
      <c r="G362" s="310">
        <f t="shared" ref="G362:H362" si="78">G357+G358</f>
        <v>0</v>
      </c>
      <c r="H362" s="310">
        <f t="shared" si="78"/>
        <v>0</v>
      </c>
      <c r="I362" s="105">
        <v>0</v>
      </c>
      <c r="K362" s="370">
        <v>0</v>
      </c>
      <c r="L362" s="370">
        <v>0</v>
      </c>
      <c r="M362" s="370">
        <v>0.12</v>
      </c>
      <c r="N362" s="307"/>
    </row>
    <row r="363" spans="1:14" s="140" customFormat="1" ht="15" hidden="1" x14ac:dyDescent="0.25">
      <c r="A363" s="141" t="s">
        <v>102</v>
      </c>
      <c r="B363" s="320">
        <v>3299</v>
      </c>
      <c r="C363" s="142">
        <v>2141</v>
      </c>
      <c r="D363" s="139"/>
      <c r="E363" s="53" t="s">
        <v>8</v>
      </c>
      <c r="F363" s="158"/>
      <c r="G363" s="158"/>
      <c r="H363" s="158">
        <v>0</v>
      </c>
      <c r="I363" s="16">
        <v>0</v>
      </c>
      <c r="K363" s="192"/>
      <c r="L363" s="192"/>
      <c r="M363" s="192"/>
      <c r="N363" s="308"/>
    </row>
    <row r="364" spans="1:14" s="140" customFormat="1" ht="15" hidden="1" x14ac:dyDescent="0.25">
      <c r="A364" s="141" t="s">
        <v>102</v>
      </c>
      <c r="B364" s="320">
        <v>3299</v>
      </c>
      <c r="C364" s="142">
        <v>2212</v>
      </c>
      <c r="D364" s="139"/>
      <c r="E364" s="52" t="s">
        <v>85</v>
      </c>
      <c r="F364" s="158"/>
      <c r="G364" s="158"/>
      <c r="H364" s="158"/>
      <c r="I364" s="16" t="e">
        <f t="shared" ref="I364:I366" si="79">(H364/G364)*100</f>
        <v>#DIV/0!</v>
      </c>
      <c r="K364" s="192"/>
      <c r="L364" s="192"/>
      <c r="M364" s="192"/>
      <c r="N364" s="308"/>
    </row>
    <row r="365" spans="1:14" s="140" customFormat="1" ht="15" hidden="1" x14ac:dyDescent="0.25">
      <c r="A365" s="141" t="s">
        <v>102</v>
      </c>
      <c r="B365" s="320">
        <v>6402</v>
      </c>
      <c r="C365" s="142">
        <v>2223</v>
      </c>
      <c r="D365" s="139"/>
      <c r="E365" s="54" t="s">
        <v>35</v>
      </c>
      <c r="F365" s="158"/>
      <c r="G365" s="158"/>
      <c r="H365" s="158"/>
      <c r="I365" s="16" t="e">
        <f t="shared" si="79"/>
        <v>#DIV/0!</v>
      </c>
      <c r="K365" s="192"/>
      <c r="L365" s="192"/>
      <c r="M365" s="192"/>
      <c r="N365" s="308"/>
    </row>
    <row r="366" spans="1:14" s="140" customFormat="1" ht="15" hidden="1" x14ac:dyDescent="0.25">
      <c r="A366" s="141" t="s">
        <v>102</v>
      </c>
      <c r="B366" s="320">
        <v>6402</v>
      </c>
      <c r="C366" s="142">
        <v>2229</v>
      </c>
      <c r="D366" s="139"/>
      <c r="E366" s="46" t="s">
        <v>29</v>
      </c>
      <c r="F366" s="158"/>
      <c r="G366" s="158"/>
      <c r="H366" s="158"/>
      <c r="I366" s="16" t="e">
        <f t="shared" si="79"/>
        <v>#DIV/0!</v>
      </c>
      <c r="K366" s="192"/>
      <c r="L366" s="192"/>
      <c r="M366" s="192"/>
      <c r="N366" s="308"/>
    </row>
    <row r="367" spans="1:14" s="104" customFormat="1" hidden="1" x14ac:dyDescent="0.2">
      <c r="A367" s="313" t="s">
        <v>102</v>
      </c>
      <c r="B367" s="109"/>
      <c r="C367" s="109"/>
      <c r="D367" s="111"/>
      <c r="E367" s="102" t="s">
        <v>81</v>
      </c>
      <c r="F367" s="310">
        <f>F363+F364</f>
        <v>0</v>
      </c>
      <c r="G367" s="310">
        <f t="shared" ref="G367:H367" si="80">G363+G364</f>
        <v>0</v>
      </c>
      <c r="H367" s="310">
        <f t="shared" si="80"/>
        <v>0</v>
      </c>
      <c r="I367" s="105">
        <v>0</v>
      </c>
      <c r="K367" s="370">
        <v>0</v>
      </c>
      <c r="L367" s="370">
        <v>0</v>
      </c>
      <c r="M367" s="370">
        <v>0.12</v>
      </c>
      <c r="N367" s="307"/>
    </row>
    <row r="368" spans="1:14" s="140" customFormat="1" ht="15" hidden="1" x14ac:dyDescent="0.25">
      <c r="A368" s="141" t="s">
        <v>103</v>
      </c>
      <c r="B368" s="146"/>
      <c r="C368" s="42">
        <v>4116</v>
      </c>
      <c r="D368" s="139"/>
      <c r="E368" s="46" t="s">
        <v>186</v>
      </c>
      <c r="F368" s="201"/>
      <c r="G368" s="158"/>
      <c r="H368" s="158"/>
      <c r="I368" s="16" t="e">
        <f t="shared" ref="I368:I370" si="81">(H368/G368)*100</f>
        <v>#DIV/0!</v>
      </c>
      <c r="K368" s="192"/>
      <c r="L368" s="192"/>
      <c r="M368" s="192"/>
      <c r="N368" s="308"/>
    </row>
    <row r="369" spans="1:14" s="140" customFormat="1" hidden="1" x14ac:dyDescent="0.2">
      <c r="A369" s="141" t="s">
        <v>103</v>
      </c>
      <c r="B369" s="146"/>
      <c r="C369" s="149"/>
      <c r="D369" s="49" t="s">
        <v>177</v>
      </c>
      <c r="E369" s="147" t="s">
        <v>101</v>
      </c>
      <c r="F369" s="201"/>
      <c r="G369" s="148"/>
      <c r="H369" s="148"/>
      <c r="I369" s="1" t="e">
        <f t="shared" si="81"/>
        <v>#DIV/0!</v>
      </c>
      <c r="K369" s="192"/>
      <c r="L369" s="192"/>
      <c r="M369" s="192"/>
      <c r="N369" s="308"/>
    </row>
    <row r="370" spans="1:14" s="140" customFormat="1" hidden="1" x14ac:dyDescent="0.2">
      <c r="A370" s="141" t="s">
        <v>103</v>
      </c>
      <c r="B370" s="146"/>
      <c r="C370" s="149"/>
      <c r="D370" s="49" t="s">
        <v>178</v>
      </c>
      <c r="E370" s="147" t="s">
        <v>101</v>
      </c>
      <c r="F370" s="201"/>
      <c r="G370" s="148"/>
      <c r="H370" s="148"/>
      <c r="I370" s="1" t="e">
        <f t="shared" si="81"/>
        <v>#DIV/0!</v>
      </c>
      <c r="K370" s="192"/>
      <c r="L370" s="192"/>
      <c r="M370" s="192"/>
      <c r="N370" s="308"/>
    </row>
    <row r="371" spans="1:14" s="140" customFormat="1" ht="15" hidden="1" x14ac:dyDescent="0.25">
      <c r="A371" s="141" t="s">
        <v>103</v>
      </c>
      <c r="B371" s="512">
        <v>3299</v>
      </c>
      <c r="C371" s="142">
        <v>2141</v>
      </c>
      <c r="D371" s="139"/>
      <c r="E371" s="53" t="s">
        <v>8</v>
      </c>
      <c r="F371" s="158"/>
      <c r="G371" s="158"/>
      <c r="H371" s="158">
        <v>0</v>
      </c>
      <c r="I371" s="16">
        <v>0</v>
      </c>
      <c r="K371" s="192"/>
      <c r="L371" s="192"/>
      <c r="M371" s="192"/>
      <c r="N371" s="308"/>
    </row>
    <row r="372" spans="1:14" s="140" customFormat="1" ht="15" hidden="1" x14ac:dyDescent="0.25">
      <c r="A372" s="141" t="s">
        <v>103</v>
      </c>
      <c r="B372" s="320">
        <v>3299</v>
      </c>
      <c r="C372" s="142">
        <v>2212</v>
      </c>
      <c r="D372" s="139"/>
      <c r="E372" s="52" t="s">
        <v>85</v>
      </c>
      <c r="F372" s="158"/>
      <c r="G372" s="158"/>
      <c r="H372" s="158"/>
      <c r="I372" s="16">
        <v>0</v>
      </c>
      <c r="K372" s="192"/>
      <c r="L372" s="192"/>
      <c r="M372" s="192"/>
      <c r="N372" s="308"/>
    </row>
    <row r="373" spans="1:14" s="140" customFormat="1" ht="15" hidden="1" x14ac:dyDescent="0.25">
      <c r="A373" s="141" t="s">
        <v>103</v>
      </c>
      <c r="B373" s="320">
        <v>3299</v>
      </c>
      <c r="C373" s="142">
        <v>2229</v>
      </c>
      <c r="D373" s="139"/>
      <c r="E373" s="46" t="s">
        <v>29</v>
      </c>
      <c r="F373" s="158"/>
      <c r="G373" s="158"/>
      <c r="H373" s="158"/>
      <c r="I373" s="16">
        <v>0</v>
      </c>
      <c r="K373" s="192"/>
      <c r="L373" s="192"/>
      <c r="M373" s="192"/>
      <c r="N373" s="308"/>
    </row>
    <row r="374" spans="1:14" s="140" customFormat="1" ht="15" hidden="1" x14ac:dyDescent="0.25">
      <c r="A374" s="141" t="s">
        <v>103</v>
      </c>
      <c r="B374" s="320">
        <v>6409</v>
      </c>
      <c r="C374" s="142">
        <v>2141</v>
      </c>
      <c r="D374" s="139"/>
      <c r="E374" s="46" t="s">
        <v>8</v>
      </c>
      <c r="F374" s="158"/>
      <c r="G374" s="158"/>
      <c r="H374" s="158"/>
      <c r="I374" s="16">
        <v>0</v>
      </c>
      <c r="K374" s="192"/>
      <c r="L374" s="192"/>
      <c r="M374" s="192"/>
      <c r="N374" s="308"/>
    </row>
    <row r="375" spans="1:14" s="104" customFormat="1" hidden="1" x14ac:dyDescent="0.2">
      <c r="A375" s="313" t="s">
        <v>103</v>
      </c>
      <c r="B375" s="109"/>
      <c r="C375" s="109"/>
      <c r="D375" s="111"/>
      <c r="E375" s="102" t="s">
        <v>81</v>
      </c>
      <c r="F375" s="310">
        <v>0</v>
      </c>
      <c r="G375" s="310">
        <f>G368+G374</f>
        <v>0</v>
      </c>
      <c r="H375" s="310">
        <f>H368+H372+H373+H374+H371</f>
        <v>0</v>
      </c>
      <c r="I375" s="105">
        <v>0</v>
      </c>
      <c r="K375" s="370">
        <v>0</v>
      </c>
      <c r="L375" s="370">
        <v>0</v>
      </c>
      <c r="M375" s="370">
        <v>0.12</v>
      </c>
      <c r="N375" s="307"/>
    </row>
    <row r="376" spans="1:14" s="203" customFormat="1" ht="15" hidden="1" x14ac:dyDescent="0.25">
      <c r="A376" s="86" t="s">
        <v>104</v>
      </c>
      <c r="B376" s="320">
        <v>6409</v>
      </c>
      <c r="C376" s="142">
        <v>2328</v>
      </c>
      <c r="D376" s="139"/>
      <c r="E376" s="41" t="s">
        <v>11</v>
      </c>
      <c r="F376" s="158"/>
      <c r="G376" s="158"/>
      <c r="H376" s="158"/>
      <c r="I376" s="16">
        <v>0</v>
      </c>
      <c r="K376" s="247"/>
      <c r="L376" s="247"/>
      <c r="M376" s="247"/>
      <c r="N376" s="321"/>
    </row>
    <row r="377" spans="1:14" s="104" customFormat="1" hidden="1" x14ac:dyDescent="0.2">
      <c r="A377" s="313" t="s">
        <v>104</v>
      </c>
      <c r="B377" s="109"/>
      <c r="C377" s="109"/>
      <c r="D377" s="111"/>
      <c r="E377" s="102" t="s">
        <v>81</v>
      </c>
      <c r="F377" s="310">
        <f>F376</f>
        <v>0</v>
      </c>
      <c r="G377" s="310">
        <f t="shared" ref="G377:H377" si="82">G376</f>
        <v>0</v>
      </c>
      <c r="H377" s="310">
        <f t="shared" si="82"/>
        <v>0</v>
      </c>
      <c r="I377" s="105">
        <v>0</v>
      </c>
      <c r="K377" s="370">
        <v>0</v>
      </c>
      <c r="L377" s="370">
        <v>0</v>
      </c>
      <c r="M377" s="370">
        <v>0</v>
      </c>
      <c r="N377" s="307"/>
    </row>
    <row r="378" spans="1:14" s="140" customFormat="1" ht="15" hidden="1" x14ac:dyDescent="0.25">
      <c r="A378" s="141" t="s">
        <v>105</v>
      </c>
      <c r="B378" s="206">
        <v>6409</v>
      </c>
      <c r="C378" s="42">
        <v>2328</v>
      </c>
      <c r="D378" s="139"/>
      <c r="E378" s="41" t="s">
        <v>11</v>
      </c>
      <c r="F378" s="158"/>
      <c r="G378" s="158"/>
      <c r="H378" s="158"/>
      <c r="I378" s="16">
        <v>0</v>
      </c>
      <c r="K378" s="192"/>
      <c r="L378" s="192"/>
      <c r="M378" s="192"/>
      <c r="N378" s="308"/>
    </row>
    <row r="379" spans="1:14" s="140" customFormat="1" hidden="1" x14ac:dyDescent="0.2">
      <c r="A379" s="141" t="s">
        <v>105</v>
      </c>
      <c r="B379" s="206"/>
      <c r="C379" s="142"/>
      <c r="D379" s="194" t="s">
        <v>179</v>
      </c>
      <c r="E379" s="147" t="s">
        <v>117</v>
      </c>
      <c r="F379" s="201"/>
      <c r="G379" s="148"/>
      <c r="H379" s="148"/>
      <c r="I379" s="1" t="e">
        <f t="shared" ref="I379:I380" si="83">(H379/G379)*100</f>
        <v>#DIV/0!</v>
      </c>
      <c r="K379" s="192"/>
      <c r="L379" s="192"/>
      <c r="M379" s="192"/>
      <c r="N379" s="308"/>
    </row>
    <row r="380" spans="1:14" s="140" customFormat="1" hidden="1" x14ac:dyDescent="0.2">
      <c r="A380" s="141" t="s">
        <v>105</v>
      </c>
      <c r="B380" s="206"/>
      <c r="C380" s="142"/>
      <c r="D380" s="194" t="s">
        <v>180</v>
      </c>
      <c r="E380" s="147" t="s">
        <v>117</v>
      </c>
      <c r="F380" s="201"/>
      <c r="G380" s="148"/>
      <c r="H380" s="148"/>
      <c r="I380" s="1" t="e">
        <f t="shared" si="83"/>
        <v>#DIV/0!</v>
      </c>
      <c r="K380" s="192"/>
      <c r="L380" s="192"/>
      <c r="M380" s="192"/>
      <c r="N380" s="308"/>
    </row>
    <row r="381" spans="1:14" s="104" customFormat="1" hidden="1" x14ac:dyDescent="0.2">
      <c r="A381" s="313" t="s">
        <v>105</v>
      </c>
      <c r="B381" s="109"/>
      <c r="C381" s="109"/>
      <c r="D381" s="111"/>
      <c r="E381" s="102" t="s">
        <v>81</v>
      </c>
      <c r="F381" s="310">
        <v>0</v>
      </c>
      <c r="G381" s="310">
        <f>G378</f>
        <v>0</v>
      </c>
      <c r="H381" s="310">
        <f>H378</f>
        <v>0</v>
      </c>
      <c r="I381" s="105">
        <v>0</v>
      </c>
      <c r="K381" s="370">
        <v>0</v>
      </c>
      <c r="L381" s="370">
        <v>0</v>
      </c>
      <c r="M381" s="370">
        <v>0</v>
      </c>
      <c r="N381" s="307"/>
    </row>
    <row r="382" spans="1:14" s="140" customFormat="1" ht="15" hidden="1" x14ac:dyDescent="0.25">
      <c r="A382" s="141" t="s">
        <v>118</v>
      </c>
      <c r="B382" s="206">
        <v>6409</v>
      </c>
      <c r="C382" s="449">
        <v>2328</v>
      </c>
      <c r="D382" s="139"/>
      <c r="E382" s="41" t="s">
        <v>11</v>
      </c>
      <c r="F382" s="158"/>
      <c r="G382" s="158"/>
      <c r="H382" s="158"/>
      <c r="I382" s="16">
        <v>0</v>
      </c>
      <c r="K382" s="192"/>
      <c r="L382" s="192"/>
      <c r="M382" s="192"/>
      <c r="N382" s="308"/>
    </row>
    <row r="383" spans="1:14" s="140" customFormat="1" hidden="1" x14ac:dyDescent="0.2">
      <c r="A383" s="141" t="s">
        <v>118</v>
      </c>
      <c r="B383" s="206"/>
      <c r="C383" s="142"/>
      <c r="D383" s="194" t="s">
        <v>179</v>
      </c>
      <c r="E383" s="147" t="s">
        <v>117</v>
      </c>
      <c r="F383" s="201"/>
      <c r="G383" s="148"/>
      <c r="H383" s="148"/>
      <c r="I383" s="1" t="e">
        <f t="shared" ref="I383:I384" si="84">(H383/G383)*100</f>
        <v>#DIV/0!</v>
      </c>
      <c r="K383" s="192"/>
      <c r="L383" s="192"/>
      <c r="M383" s="192"/>
      <c r="N383" s="308"/>
    </row>
    <row r="384" spans="1:14" s="140" customFormat="1" hidden="1" x14ac:dyDescent="0.2">
      <c r="A384" s="141" t="s">
        <v>118</v>
      </c>
      <c r="B384" s="206"/>
      <c r="C384" s="142"/>
      <c r="D384" s="194" t="s">
        <v>180</v>
      </c>
      <c r="E384" s="147" t="s">
        <v>117</v>
      </c>
      <c r="F384" s="201"/>
      <c r="G384" s="148"/>
      <c r="H384" s="148"/>
      <c r="I384" s="1" t="e">
        <f t="shared" si="84"/>
        <v>#DIV/0!</v>
      </c>
      <c r="K384" s="192"/>
      <c r="L384" s="192"/>
      <c r="M384" s="192"/>
      <c r="N384" s="308"/>
    </row>
    <row r="385" spans="1:22" s="104" customFormat="1" hidden="1" x14ac:dyDescent="0.2">
      <c r="A385" s="313" t="s">
        <v>118</v>
      </c>
      <c r="B385" s="109"/>
      <c r="C385" s="109"/>
      <c r="D385" s="111"/>
      <c r="E385" s="102" t="s">
        <v>81</v>
      </c>
      <c r="F385" s="310">
        <v>0</v>
      </c>
      <c r="G385" s="310">
        <f>G382</f>
        <v>0</v>
      </c>
      <c r="H385" s="310">
        <f>H382</f>
        <v>0</v>
      </c>
      <c r="I385" s="105">
        <v>0</v>
      </c>
      <c r="K385" s="370">
        <v>0</v>
      </c>
      <c r="L385" s="370">
        <v>0</v>
      </c>
      <c r="M385" s="370">
        <v>0</v>
      </c>
      <c r="N385" s="307"/>
    </row>
    <row r="386" spans="1:22" s="140" customFormat="1" ht="15" hidden="1" x14ac:dyDescent="0.25">
      <c r="A386" s="141" t="s">
        <v>119</v>
      </c>
      <c r="B386" s="206">
        <v>6409</v>
      </c>
      <c r="C386" s="449">
        <v>2328</v>
      </c>
      <c r="D386" s="139"/>
      <c r="E386" s="41" t="s">
        <v>11</v>
      </c>
      <c r="F386" s="158"/>
      <c r="G386" s="158"/>
      <c r="H386" s="158"/>
      <c r="I386" s="16">
        <v>0</v>
      </c>
      <c r="K386" s="192"/>
      <c r="L386" s="192"/>
      <c r="M386" s="192"/>
      <c r="N386" s="308"/>
    </row>
    <row r="387" spans="1:22" s="104" customFormat="1" hidden="1" x14ac:dyDescent="0.2">
      <c r="A387" s="313" t="s">
        <v>119</v>
      </c>
      <c r="B387" s="109"/>
      <c r="C387" s="109"/>
      <c r="D387" s="111"/>
      <c r="E387" s="102" t="s">
        <v>81</v>
      </c>
      <c r="F387" s="310">
        <v>0</v>
      </c>
      <c r="G387" s="310">
        <f>G386</f>
        <v>0</v>
      </c>
      <c r="H387" s="310">
        <f>H386</f>
        <v>0</v>
      </c>
      <c r="I387" s="105">
        <v>0</v>
      </c>
      <c r="K387" s="370">
        <v>0</v>
      </c>
      <c r="L387" s="370">
        <v>0</v>
      </c>
      <c r="M387" s="387">
        <v>0</v>
      </c>
      <c r="N387" s="347"/>
    </row>
    <row r="388" spans="1:22" s="140" customFormat="1" ht="15" x14ac:dyDescent="0.25">
      <c r="A388" s="141" t="s">
        <v>120</v>
      </c>
      <c r="B388" s="146"/>
      <c r="C388" s="42">
        <v>4116</v>
      </c>
      <c r="D388" s="139"/>
      <c r="E388" s="46" t="s">
        <v>186</v>
      </c>
      <c r="F388" s="158">
        <f>F389+F390+F391+F392</f>
        <v>0</v>
      </c>
      <c r="G388" s="158">
        <f t="shared" ref="G388:H388" si="85">G389+G390+G391+G392</f>
        <v>11800</v>
      </c>
      <c r="H388" s="158">
        <f t="shared" si="85"/>
        <v>11800</v>
      </c>
      <c r="I388" s="16">
        <f t="shared" ref="I388:I392" si="86">(H388/G388)*100</f>
        <v>100</v>
      </c>
      <c r="K388" s="350"/>
      <c r="L388" s="350"/>
      <c r="M388" s="350"/>
      <c r="N388" s="351"/>
    </row>
    <row r="389" spans="1:22" s="496" customFormat="1" ht="17.25" customHeight="1" x14ac:dyDescent="0.2">
      <c r="A389" s="570"/>
      <c r="B389" s="571"/>
      <c r="C389" s="572"/>
      <c r="D389" s="524" t="s">
        <v>367</v>
      </c>
      <c r="E389" s="569" t="s">
        <v>368</v>
      </c>
      <c r="F389" s="563"/>
      <c r="G389" s="529">
        <v>10292</v>
      </c>
      <c r="H389" s="529">
        <v>10292</v>
      </c>
      <c r="I389" s="458">
        <f t="shared" si="86"/>
        <v>100</v>
      </c>
      <c r="K389" s="497"/>
      <c r="L389" s="497"/>
      <c r="M389" s="497"/>
      <c r="N389" s="498"/>
    </row>
    <row r="390" spans="1:22" s="496" customFormat="1" ht="30" customHeight="1" x14ac:dyDescent="0.2">
      <c r="A390" s="570"/>
      <c r="B390" s="499"/>
      <c r="C390" s="494"/>
      <c r="D390" s="524" t="s">
        <v>281</v>
      </c>
      <c r="E390" s="569" t="s">
        <v>283</v>
      </c>
      <c r="F390" s="528"/>
      <c r="G390" s="529">
        <v>221</v>
      </c>
      <c r="H390" s="529">
        <v>221</v>
      </c>
      <c r="I390" s="458">
        <f t="shared" si="86"/>
        <v>100</v>
      </c>
      <c r="K390" s="636">
        <f>K356+K348+K341+K336+K300+K284+K279+K271+K257+K250+K235+K215+K203</f>
        <v>249760200</v>
      </c>
      <c r="L390" s="636">
        <f t="shared" ref="L390" si="87">L356+L348+L341+L336+L300+L284+L279+L271+L257+L250+L235+L215+L203</f>
        <v>511776594.64000005</v>
      </c>
      <c r="M390" s="636">
        <f>M356+M348+M341+M336+M300+M284+M279+M271+M257+M250+M235+M215+M203+M281</f>
        <v>1857523054.4100001</v>
      </c>
      <c r="N390" s="498"/>
    </row>
    <row r="391" spans="1:22" s="496" customFormat="1" ht="30" customHeight="1" x14ac:dyDescent="0.2">
      <c r="A391" s="570"/>
      <c r="B391" s="499"/>
      <c r="C391" s="494"/>
      <c r="D391" s="524" t="s">
        <v>282</v>
      </c>
      <c r="E391" s="569" t="s">
        <v>284</v>
      </c>
      <c r="F391" s="528"/>
      <c r="G391" s="529">
        <v>1254</v>
      </c>
      <c r="H391" s="529">
        <v>1254</v>
      </c>
      <c r="I391" s="458">
        <f t="shared" si="86"/>
        <v>100</v>
      </c>
      <c r="K391" s="497"/>
      <c r="L391" s="497"/>
      <c r="M391" s="497"/>
      <c r="N391" s="498"/>
    </row>
    <row r="392" spans="1:22" s="574" customFormat="1" ht="15" customHeight="1" x14ac:dyDescent="0.2">
      <c r="A392" s="570"/>
      <c r="B392" s="573"/>
      <c r="C392" s="572"/>
      <c r="D392" s="524" t="s">
        <v>369</v>
      </c>
      <c r="E392" s="560" t="s">
        <v>370</v>
      </c>
      <c r="F392" s="563"/>
      <c r="G392" s="529">
        <v>33</v>
      </c>
      <c r="H392" s="529">
        <v>33</v>
      </c>
      <c r="I392" s="458">
        <f t="shared" si="86"/>
        <v>100</v>
      </c>
      <c r="K392" s="575"/>
      <c r="L392" s="575"/>
      <c r="M392" s="575"/>
      <c r="N392" s="576"/>
    </row>
    <row r="393" spans="1:22" s="140" customFormat="1" ht="15" x14ac:dyDescent="0.25">
      <c r="A393" s="141" t="s">
        <v>120</v>
      </c>
      <c r="B393" s="96"/>
      <c r="C393" s="100">
        <v>4118</v>
      </c>
      <c r="D393" s="49"/>
      <c r="E393" s="50" t="s">
        <v>385</v>
      </c>
      <c r="F393" s="158">
        <f>F394</f>
        <v>0</v>
      </c>
      <c r="G393" s="158">
        <f t="shared" ref="G393:H393" si="88">G394</f>
        <v>555</v>
      </c>
      <c r="H393" s="158">
        <f t="shared" si="88"/>
        <v>555</v>
      </c>
      <c r="I393" s="16">
        <f t="shared" ref="I393:I397" si="89">(H393/G393)*100</f>
        <v>100</v>
      </c>
      <c r="K393" s="192"/>
      <c r="L393" s="192"/>
      <c r="M393" s="192"/>
      <c r="N393" s="308"/>
      <c r="Q393" s="259"/>
      <c r="R393" s="259"/>
      <c r="S393" s="260">
        <v>2027617382.3800001</v>
      </c>
      <c r="T393" s="259" t="s">
        <v>376</v>
      </c>
      <c r="U393" s="259"/>
      <c r="V393" s="259"/>
    </row>
    <row r="394" spans="1:22" s="140" customFormat="1" x14ac:dyDescent="0.2">
      <c r="A394" s="241"/>
      <c r="B394" s="146"/>
      <c r="C394" s="118"/>
      <c r="D394" s="517" t="s">
        <v>371</v>
      </c>
      <c r="E394" s="135" t="s">
        <v>372</v>
      </c>
      <c r="F394" s="455"/>
      <c r="G394" s="455">
        <v>555</v>
      </c>
      <c r="H394" s="455">
        <v>555</v>
      </c>
      <c r="I394" s="454">
        <f t="shared" si="89"/>
        <v>100</v>
      </c>
      <c r="K394" s="192"/>
      <c r="L394" s="192"/>
      <c r="M394" s="192"/>
      <c r="N394" s="308"/>
      <c r="Q394" s="259"/>
      <c r="R394" s="259"/>
      <c r="S394" s="260">
        <v>1645199400.0799999</v>
      </c>
      <c r="T394" s="259" t="s">
        <v>377</v>
      </c>
      <c r="U394" s="259"/>
      <c r="V394" s="259"/>
    </row>
    <row r="395" spans="1:22" s="140" customFormat="1" ht="15" hidden="1" x14ac:dyDescent="0.25">
      <c r="A395" s="241" t="s">
        <v>120</v>
      </c>
      <c r="B395" s="146"/>
      <c r="C395" s="142">
        <v>4122</v>
      </c>
      <c r="D395" s="48"/>
      <c r="E395" s="388" t="s">
        <v>210</v>
      </c>
      <c r="F395" s="158"/>
      <c r="G395" s="158"/>
      <c r="H395" s="158"/>
      <c r="I395" s="16" t="e">
        <f t="shared" si="89"/>
        <v>#DIV/0!</v>
      </c>
      <c r="K395" s="192"/>
      <c r="L395" s="192"/>
      <c r="M395" s="192"/>
      <c r="N395" s="308"/>
      <c r="Q395" s="259"/>
      <c r="R395" s="259"/>
      <c r="S395" s="260"/>
      <c r="T395" s="259"/>
      <c r="U395" s="259"/>
      <c r="V395" s="259"/>
    </row>
    <row r="396" spans="1:22" s="140" customFormat="1" hidden="1" x14ac:dyDescent="0.2">
      <c r="A396" s="241" t="s">
        <v>120</v>
      </c>
      <c r="B396" s="146"/>
      <c r="C396" s="142"/>
      <c r="D396" s="61" t="s">
        <v>174</v>
      </c>
      <c r="E396" s="114" t="s">
        <v>88</v>
      </c>
      <c r="F396" s="455"/>
      <c r="G396" s="455"/>
      <c r="H396" s="455"/>
      <c r="I396" s="454" t="e">
        <f t="shared" si="89"/>
        <v>#DIV/0!</v>
      </c>
      <c r="K396" s="192"/>
      <c r="L396" s="192"/>
      <c r="M396" s="192"/>
      <c r="N396" s="308"/>
      <c r="Q396" s="259"/>
      <c r="R396" s="259"/>
      <c r="S396" s="260"/>
      <c r="T396" s="259"/>
      <c r="U396" s="259"/>
      <c r="V396" s="259"/>
    </row>
    <row r="397" spans="1:22" s="140" customFormat="1" ht="15" hidden="1" x14ac:dyDescent="0.25">
      <c r="A397" s="241" t="s">
        <v>120</v>
      </c>
      <c r="B397" s="146"/>
      <c r="C397" s="100">
        <v>4123</v>
      </c>
      <c r="D397" s="49"/>
      <c r="E397" s="50" t="s">
        <v>47</v>
      </c>
      <c r="F397" s="158"/>
      <c r="G397" s="158"/>
      <c r="H397" s="158"/>
      <c r="I397" s="16" t="e">
        <f t="shared" si="89"/>
        <v>#DIV/0!</v>
      </c>
      <c r="K397" s="192"/>
      <c r="L397" s="192"/>
      <c r="M397" s="192"/>
      <c r="N397" s="308"/>
      <c r="Q397" s="140">
        <f>Q393-Q394</f>
        <v>0</v>
      </c>
      <c r="S397" s="261">
        <f>S393-S394</f>
        <v>382417982.30000019</v>
      </c>
    </row>
    <row r="398" spans="1:22" s="140" customFormat="1" ht="15.75" thickBot="1" x14ac:dyDescent="0.3">
      <c r="A398" s="241" t="s">
        <v>120</v>
      </c>
      <c r="B398" s="94">
        <v>6330</v>
      </c>
      <c r="C398" s="588">
        <v>4134</v>
      </c>
      <c r="D398" s="49"/>
      <c r="E398" s="41" t="s">
        <v>16</v>
      </c>
      <c r="F398" s="158"/>
      <c r="G398" s="158"/>
      <c r="H398" s="158">
        <v>15360</v>
      </c>
      <c r="I398" s="16">
        <v>0</v>
      </c>
      <c r="K398" s="192"/>
      <c r="L398" s="192"/>
      <c r="M398" s="192">
        <v>15359953.880000001</v>
      </c>
      <c r="N398" s="308"/>
    </row>
    <row r="399" spans="1:22" s="431" customFormat="1" ht="15" customHeight="1" x14ac:dyDescent="0.2">
      <c r="A399" s="313" t="s">
        <v>120</v>
      </c>
      <c r="B399" s="109"/>
      <c r="C399" s="109"/>
      <c r="D399" s="111"/>
      <c r="E399" s="102" t="s">
        <v>81</v>
      </c>
      <c r="F399" s="310">
        <f>SUM(F388,F393,F398)</f>
        <v>0</v>
      </c>
      <c r="G399" s="310">
        <f t="shared" ref="G399:H399" si="90">SUM(G388,G393,G398)</f>
        <v>12355</v>
      </c>
      <c r="H399" s="310">
        <f t="shared" si="90"/>
        <v>27715</v>
      </c>
      <c r="I399" s="105">
        <f>(H399/G399)*100</f>
        <v>224.32213678672605</v>
      </c>
      <c r="K399" s="432">
        <v>0</v>
      </c>
      <c r="L399" s="432">
        <v>12355223.859999999</v>
      </c>
      <c r="M399" s="432">
        <v>27715213.32</v>
      </c>
      <c r="N399" s="433"/>
      <c r="O399" s="442">
        <f>F281+F284+F300+F314+F317+F319+F321+F336+F341+F348+F362+F367+F375+F377+F381+F385+F387+F399+F404+F356+F409+F417+F424</f>
        <v>0</v>
      </c>
      <c r="P399" s="442">
        <f>G281+G284+G300+G314+G317+G319+G321+G336+G341+G348+G362+G367+G375+G377+G381+G385+G387+G399+G404+G356+G409+G417+G424</f>
        <v>385863</v>
      </c>
      <c r="Q399" s="442">
        <f>H281+H284+H300+H314+H317+H319+H321+H336+H341+H348+H362+H367+H375+H377+H381+H385+H387+H399+H404+H356+H409+H417+H424</f>
        <v>2027618</v>
      </c>
      <c r="R399" s="443">
        <f>L281+L284+L300+L314+L317+L319+L321+L336+L341+L348+L362+L367+L375+L377+L381+L385+L387+L399+L404+L356+L409+L417</f>
        <v>299763738.93000007</v>
      </c>
      <c r="S399" s="443">
        <f>M281+M284+M300+M314+M317+M319+M321+M336+M341+M348+M362+M367+M375+M377+M381+M385+M387+M399+M404+M356+M409+M417+M424-M283</f>
        <v>994507652.65999985</v>
      </c>
      <c r="T399" s="442" t="s">
        <v>366</v>
      </c>
    </row>
    <row r="400" spans="1:22" s="140" customFormat="1" ht="15" hidden="1" x14ac:dyDescent="0.25">
      <c r="A400" s="141" t="s">
        <v>131</v>
      </c>
      <c r="B400" s="206"/>
      <c r="C400" s="42">
        <v>4116</v>
      </c>
      <c r="D400" s="139"/>
      <c r="E400" s="46" t="s">
        <v>186</v>
      </c>
      <c r="F400" s="201"/>
      <c r="G400" s="158">
        <f>G401+G402</f>
        <v>0</v>
      </c>
      <c r="H400" s="158">
        <f>H401+H402</f>
        <v>128</v>
      </c>
      <c r="I400" s="16" t="e">
        <f t="shared" ref="I400:I401" si="91">(H400/G400)*100</f>
        <v>#DIV/0!</v>
      </c>
      <c r="K400" s="192"/>
      <c r="L400" s="192"/>
      <c r="M400" s="192"/>
      <c r="N400" s="308"/>
    </row>
    <row r="401" spans="1:14" s="140" customFormat="1" hidden="1" x14ac:dyDescent="0.2">
      <c r="A401" s="141" t="s">
        <v>131</v>
      </c>
      <c r="B401" s="206"/>
      <c r="C401" s="142"/>
      <c r="D401" s="204" t="s">
        <v>171</v>
      </c>
      <c r="E401" s="205" t="s">
        <v>116</v>
      </c>
      <c r="F401" s="201"/>
      <c r="G401" s="148"/>
      <c r="H401" s="148"/>
      <c r="I401" s="1" t="e">
        <f t="shared" si="91"/>
        <v>#DIV/0!</v>
      </c>
      <c r="K401" s="192"/>
      <c r="L401" s="192"/>
      <c r="M401" s="192"/>
      <c r="N401" s="308"/>
    </row>
    <row r="402" spans="1:14" s="140" customFormat="1" ht="15" x14ac:dyDescent="0.25">
      <c r="A402" s="141" t="s">
        <v>131</v>
      </c>
      <c r="B402" s="94">
        <v>6330</v>
      </c>
      <c r="C402" s="588">
        <v>4134</v>
      </c>
      <c r="D402" s="49"/>
      <c r="E402" s="41" t="s">
        <v>16</v>
      </c>
      <c r="F402" s="201"/>
      <c r="G402" s="148"/>
      <c r="H402" s="158">
        <v>128</v>
      </c>
      <c r="I402" s="16">
        <v>0</v>
      </c>
      <c r="K402" s="192"/>
      <c r="L402" s="192"/>
      <c r="M402" s="192"/>
      <c r="N402" s="308"/>
    </row>
    <row r="403" spans="1:14" s="140" customFormat="1" ht="15" x14ac:dyDescent="0.25">
      <c r="A403" s="141" t="s">
        <v>131</v>
      </c>
      <c r="B403" s="206">
        <v>6409</v>
      </c>
      <c r="C403" s="449">
        <v>2328</v>
      </c>
      <c r="D403" s="139"/>
      <c r="E403" s="41" t="s">
        <v>11</v>
      </c>
      <c r="F403" s="158"/>
      <c r="G403" s="158"/>
      <c r="H403" s="158">
        <v>-1</v>
      </c>
      <c r="I403" s="16">
        <v>0</v>
      </c>
      <c r="K403" s="192"/>
      <c r="L403" s="192"/>
      <c r="M403" s="192">
        <v>127883.85</v>
      </c>
      <c r="N403" s="308"/>
    </row>
    <row r="404" spans="1:14" s="104" customFormat="1" x14ac:dyDescent="0.2">
      <c r="A404" s="313" t="s">
        <v>131</v>
      </c>
      <c r="B404" s="109"/>
      <c r="C404" s="109"/>
      <c r="D404" s="111"/>
      <c r="E404" s="102" t="s">
        <v>81</v>
      </c>
      <c r="F404" s="310">
        <v>0</v>
      </c>
      <c r="G404" s="310">
        <f>G400+G403</f>
        <v>0</v>
      </c>
      <c r="H404" s="310">
        <f>H400+H403</f>
        <v>127</v>
      </c>
      <c r="I404" s="105">
        <v>0</v>
      </c>
      <c r="K404" s="370">
        <v>0</v>
      </c>
      <c r="L404" s="370">
        <v>0</v>
      </c>
      <c r="M404" s="370">
        <v>126882.78</v>
      </c>
      <c r="N404" s="307"/>
    </row>
    <row r="405" spans="1:14" s="140" customFormat="1" ht="15" x14ac:dyDescent="0.25">
      <c r="A405" s="393" t="s">
        <v>211</v>
      </c>
      <c r="B405" s="394"/>
      <c r="C405" s="449">
        <v>4116</v>
      </c>
      <c r="D405" s="139"/>
      <c r="E405" s="46" t="s">
        <v>186</v>
      </c>
      <c r="F405" s="371">
        <f>F406+F407</f>
        <v>0</v>
      </c>
      <c r="G405" s="371">
        <f t="shared" ref="G405:H405" si="92">G406+G407</f>
        <v>4275</v>
      </c>
      <c r="H405" s="371">
        <f t="shared" si="92"/>
        <v>4275</v>
      </c>
      <c r="I405" s="143">
        <f>H405/G405*100</f>
        <v>100</v>
      </c>
      <c r="K405" s="192"/>
      <c r="L405" s="192"/>
      <c r="M405" s="192"/>
      <c r="N405" s="308"/>
    </row>
    <row r="406" spans="1:14" s="140" customFormat="1" x14ac:dyDescent="0.2">
      <c r="A406" s="141"/>
      <c r="B406" s="206"/>
      <c r="C406" s="494"/>
      <c r="D406" s="525" t="s">
        <v>258</v>
      </c>
      <c r="E406" s="495" t="s">
        <v>259</v>
      </c>
      <c r="F406" s="455"/>
      <c r="G406" s="455">
        <v>450</v>
      </c>
      <c r="H406" s="455">
        <v>450</v>
      </c>
      <c r="I406" s="489">
        <f t="shared" ref="I406:I407" si="93">H406/G406*100</f>
        <v>100</v>
      </c>
      <c r="K406" s="192"/>
      <c r="L406" s="192"/>
      <c r="M406" s="192"/>
      <c r="N406" s="308"/>
    </row>
    <row r="407" spans="1:14" s="140" customFormat="1" x14ac:dyDescent="0.2">
      <c r="A407" s="141"/>
      <c r="B407" s="206"/>
      <c r="C407" s="494"/>
      <c r="D407" s="525" t="s">
        <v>260</v>
      </c>
      <c r="E407" s="495" t="s">
        <v>259</v>
      </c>
      <c r="F407" s="455"/>
      <c r="G407" s="455">
        <v>3825</v>
      </c>
      <c r="H407" s="455">
        <v>3825</v>
      </c>
      <c r="I407" s="489">
        <f t="shared" si="93"/>
        <v>100</v>
      </c>
      <c r="K407" s="192"/>
      <c r="L407" s="192"/>
      <c r="M407" s="192"/>
      <c r="N407" s="308"/>
    </row>
    <row r="408" spans="1:14" s="140" customFormat="1" ht="15" x14ac:dyDescent="0.25">
      <c r="A408" s="141" t="s">
        <v>211</v>
      </c>
      <c r="B408" s="94">
        <v>6330</v>
      </c>
      <c r="C408" s="588">
        <v>4134</v>
      </c>
      <c r="D408" s="49"/>
      <c r="E408" s="41" t="s">
        <v>16</v>
      </c>
      <c r="F408" s="158"/>
      <c r="G408" s="158"/>
      <c r="H408" s="158">
        <v>4439</v>
      </c>
      <c r="I408" s="143">
        <v>0</v>
      </c>
      <c r="K408" s="192"/>
      <c r="L408" s="192"/>
      <c r="M408" s="192">
        <v>4438799.59</v>
      </c>
      <c r="N408" s="308"/>
    </row>
    <row r="409" spans="1:14" s="104" customFormat="1" x14ac:dyDescent="0.2">
      <c r="A409" s="313" t="s">
        <v>211</v>
      </c>
      <c r="B409" s="109"/>
      <c r="C409" s="109"/>
      <c r="D409" s="111"/>
      <c r="E409" s="102" t="s">
        <v>81</v>
      </c>
      <c r="F409" s="310">
        <f>F405+F408</f>
        <v>0</v>
      </c>
      <c r="G409" s="310">
        <f t="shared" ref="G409:H409" si="94">G405+G408</f>
        <v>4275</v>
      </c>
      <c r="H409" s="310">
        <f t="shared" si="94"/>
        <v>8714</v>
      </c>
      <c r="I409" s="105">
        <f>H409/G409*100</f>
        <v>203.83625730994152</v>
      </c>
      <c r="K409" s="370">
        <v>0</v>
      </c>
      <c r="L409" s="370">
        <v>4274900</v>
      </c>
      <c r="M409" s="370">
        <v>8713834.1600000001</v>
      </c>
      <c r="N409" s="347"/>
    </row>
    <row r="410" spans="1:14" s="140" customFormat="1" ht="15" x14ac:dyDescent="0.25">
      <c r="A410" s="141" t="s">
        <v>212</v>
      </c>
      <c r="B410" s="206"/>
      <c r="C410" s="389">
        <v>4116</v>
      </c>
      <c r="D410" s="139"/>
      <c r="E410" s="46" t="s">
        <v>186</v>
      </c>
      <c r="F410" s="158">
        <f>F411+F412</f>
        <v>0</v>
      </c>
      <c r="G410" s="158">
        <f t="shared" ref="G410:H410" si="95">G411+G412</f>
        <v>729</v>
      </c>
      <c r="H410" s="158">
        <f t="shared" si="95"/>
        <v>729</v>
      </c>
      <c r="I410" s="16">
        <f t="shared" ref="I410:I414" si="96">(H410/G410)*100</f>
        <v>100</v>
      </c>
      <c r="K410" s="192"/>
      <c r="L410" s="192"/>
      <c r="M410" s="192"/>
      <c r="N410" s="308"/>
    </row>
    <row r="411" spans="1:14" s="140" customFormat="1" x14ac:dyDescent="0.2">
      <c r="A411" s="141"/>
      <c r="B411" s="206"/>
      <c r="C411" s="149"/>
      <c r="D411" s="534" t="s">
        <v>213</v>
      </c>
      <c r="E411" s="147" t="s">
        <v>214</v>
      </c>
      <c r="F411" s="455"/>
      <c r="G411" s="455">
        <v>729</v>
      </c>
      <c r="H411" s="455">
        <v>87</v>
      </c>
      <c r="I411" s="454">
        <f t="shared" si="96"/>
        <v>11.934156378600823</v>
      </c>
      <c r="K411" s="192"/>
      <c r="L411" s="192"/>
      <c r="M411" s="192"/>
      <c r="N411" s="308"/>
    </row>
    <row r="412" spans="1:14" s="140" customFormat="1" ht="25.5" x14ac:dyDescent="0.2">
      <c r="A412" s="570"/>
      <c r="B412" s="206"/>
      <c r="C412" s="149"/>
      <c r="D412" s="533" t="s">
        <v>285</v>
      </c>
      <c r="E412" s="500" t="s">
        <v>373</v>
      </c>
      <c r="F412" s="581"/>
      <c r="G412" s="581">
        <v>0</v>
      </c>
      <c r="H412" s="581">
        <v>642</v>
      </c>
      <c r="I412" s="458">
        <v>0</v>
      </c>
      <c r="K412" s="192"/>
      <c r="L412" s="192"/>
      <c r="M412" s="192"/>
      <c r="N412" s="308"/>
    </row>
    <row r="413" spans="1:14" s="140" customFormat="1" ht="15" x14ac:dyDescent="0.25">
      <c r="A413" s="141" t="s">
        <v>212</v>
      </c>
      <c r="B413" s="206"/>
      <c r="C413" s="142">
        <v>4216</v>
      </c>
      <c r="D413" s="194"/>
      <c r="E413" s="50" t="s">
        <v>82</v>
      </c>
      <c r="F413" s="158">
        <f>F414</f>
        <v>0</v>
      </c>
      <c r="G413" s="158">
        <f t="shared" ref="G413:H413" si="97">G414</f>
        <v>92000</v>
      </c>
      <c r="H413" s="158">
        <f t="shared" si="97"/>
        <v>92000</v>
      </c>
      <c r="I413" s="16">
        <f t="shared" si="96"/>
        <v>100</v>
      </c>
      <c r="K413" s="192"/>
      <c r="L413" s="192"/>
      <c r="M413" s="192"/>
      <c r="N413" s="308"/>
    </row>
    <row r="414" spans="1:14" s="140" customFormat="1" ht="25.5" x14ac:dyDescent="0.2">
      <c r="A414" s="570"/>
      <c r="B414" s="206"/>
      <c r="C414" s="149"/>
      <c r="D414" s="533" t="s">
        <v>285</v>
      </c>
      <c r="E414" s="500" t="s">
        <v>286</v>
      </c>
      <c r="F414" s="465"/>
      <c r="G414" s="528">
        <v>92000</v>
      </c>
      <c r="H414" s="528">
        <v>92000</v>
      </c>
      <c r="I414" s="458">
        <f t="shared" si="96"/>
        <v>100</v>
      </c>
      <c r="K414" s="192"/>
      <c r="L414" s="192"/>
      <c r="M414" s="192"/>
      <c r="N414" s="308"/>
    </row>
    <row r="415" spans="1:14" s="140" customFormat="1" ht="15" x14ac:dyDescent="0.25">
      <c r="A415" s="141" t="s">
        <v>212</v>
      </c>
      <c r="B415" s="206">
        <v>3713</v>
      </c>
      <c r="C415" s="142">
        <v>2141</v>
      </c>
      <c r="D415" s="139"/>
      <c r="E415" s="41" t="s">
        <v>8</v>
      </c>
      <c r="F415" s="158">
        <v>0</v>
      </c>
      <c r="G415" s="158">
        <v>0</v>
      </c>
      <c r="H415" s="158">
        <v>1</v>
      </c>
      <c r="I415" s="390">
        <v>0</v>
      </c>
      <c r="K415" s="192"/>
      <c r="L415" s="192"/>
      <c r="M415" s="192"/>
      <c r="N415" s="308"/>
    </row>
    <row r="416" spans="1:14" s="140" customFormat="1" ht="15" x14ac:dyDescent="0.25">
      <c r="A416" s="141" t="s">
        <v>212</v>
      </c>
      <c r="B416" s="589">
        <v>6330</v>
      </c>
      <c r="C416" s="588">
        <v>4134</v>
      </c>
      <c r="D416" s="49"/>
      <c r="E416" s="41" t="s">
        <v>16</v>
      </c>
      <c r="F416" s="158"/>
      <c r="G416" s="158"/>
      <c r="H416" s="158">
        <v>92729</v>
      </c>
      <c r="I416" s="390">
        <v>0</v>
      </c>
      <c r="K416" s="192"/>
      <c r="L416" s="192"/>
      <c r="M416" s="192">
        <v>92728917.5</v>
      </c>
      <c r="N416" s="308"/>
    </row>
    <row r="417" spans="1:14" s="104" customFormat="1" x14ac:dyDescent="0.2">
      <c r="A417" s="313" t="s">
        <v>212</v>
      </c>
      <c r="B417" s="109"/>
      <c r="C417" s="109"/>
      <c r="D417" s="111"/>
      <c r="E417" s="102" t="s">
        <v>81</v>
      </c>
      <c r="F417" s="310">
        <f>F410+F413+F415+F416</f>
        <v>0</v>
      </c>
      <c r="G417" s="310">
        <f t="shared" ref="G417:H417" si="98">G410+G413+G415+G416</f>
        <v>92729</v>
      </c>
      <c r="H417" s="310">
        <f t="shared" si="98"/>
        <v>185459</v>
      </c>
      <c r="I417" s="105">
        <f>H417/G417*100</f>
        <v>200.00107841128448</v>
      </c>
      <c r="K417" s="370">
        <v>0</v>
      </c>
      <c r="L417" s="370">
        <v>92728917.5</v>
      </c>
      <c r="M417" s="370">
        <v>185458335.03999999</v>
      </c>
      <c r="N417" s="347"/>
    </row>
    <row r="418" spans="1:14" s="431" customFormat="1" ht="15" x14ac:dyDescent="0.25">
      <c r="A418" s="141" t="s">
        <v>374</v>
      </c>
      <c r="B418" s="206"/>
      <c r="C418" s="389">
        <v>4116</v>
      </c>
      <c r="D418" s="139"/>
      <c r="E418" s="46" t="s">
        <v>186</v>
      </c>
      <c r="F418" s="158">
        <f>+F419</f>
        <v>0</v>
      </c>
      <c r="G418" s="158">
        <f t="shared" ref="G418:H418" si="99">+G419</f>
        <v>2750</v>
      </c>
      <c r="H418" s="158">
        <f t="shared" si="99"/>
        <v>2750</v>
      </c>
      <c r="I418" s="16">
        <f t="shared" ref="I418" si="100">(H418/G418)*100</f>
        <v>100</v>
      </c>
      <c r="J418" s="140"/>
      <c r="K418" s="192"/>
      <c r="L418" s="192"/>
      <c r="M418" s="192"/>
      <c r="N418" s="485"/>
    </row>
    <row r="419" spans="1:14" s="431" customFormat="1" ht="25.5" x14ac:dyDescent="0.2">
      <c r="A419" s="570" t="s">
        <v>374</v>
      </c>
      <c r="B419" s="206"/>
      <c r="C419" s="149"/>
      <c r="D419" s="533" t="s">
        <v>213</v>
      </c>
      <c r="E419" s="586" t="s">
        <v>373</v>
      </c>
      <c r="F419" s="581"/>
      <c r="G419" s="581">
        <v>2750</v>
      </c>
      <c r="H419" s="581">
        <v>2750</v>
      </c>
      <c r="I419" s="458">
        <f>(H419/G419)*100</f>
        <v>100</v>
      </c>
      <c r="J419" s="140"/>
      <c r="K419" s="192"/>
      <c r="L419" s="192"/>
      <c r="M419" s="192"/>
      <c r="N419" s="485"/>
    </row>
    <row r="420" spans="1:14" s="431" customFormat="1" ht="15" x14ac:dyDescent="0.25">
      <c r="A420" s="141" t="s">
        <v>374</v>
      </c>
      <c r="B420" s="206"/>
      <c r="C420" s="142">
        <v>4216</v>
      </c>
      <c r="D420" s="194"/>
      <c r="E420" s="50" t="s">
        <v>82</v>
      </c>
      <c r="F420" s="158">
        <f>F421</f>
        <v>0</v>
      </c>
      <c r="G420" s="158">
        <f t="shared" ref="G420:H420" si="101">G421</f>
        <v>83350</v>
      </c>
      <c r="H420" s="158">
        <f t="shared" si="101"/>
        <v>83350</v>
      </c>
      <c r="I420" s="16">
        <f t="shared" ref="I420:I421" si="102">(H420/G420)*100</f>
        <v>100</v>
      </c>
      <c r="J420" s="140"/>
      <c r="K420" s="192"/>
      <c r="L420" s="192"/>
      <c r="M420" s="192"/>
      <c r="N420" s="485"/>
    </row>
    <row r="421" spans="1:14" s="431" customFormat="1" ht="25.5" x14ac:dyDescent="0.2">
      <c r="A421" s="570" t="s">
        <v>374</v>
      </c>
      <c r="B421" s="206"/>
      <c r="C421" s="149"/>
      <c r="D421" s="533" t="s">
        <v>285</v>
      </c>
      <c r="E421" s="586" t="s">
        <v>286</v>
      </c>
      <c r="F421" s="562"/>
      <c r="G421" s="563">
        <v>83350</v>
      </c>
      <c r="H421" s="563">
        <v>83350</v>
      </c>
      <c r="I421" s="458">
        <f t="shared" si="102"/>
        <v>100</v>
      </c>
      <c r="J421" s="140"/>
      <c r="K421" s="192"/>
      <c r="L421" s="192"/>
      <c r="M421" s="192"/>
      <c r="N421" s="485"/>
    </row>
    <row r="422" spans="1:14" s="431" customFormat="1" ht="15" x14ac:dyDescent="0.25">
      <c r="A422" s="141" t="s">
        <v>374</v>
      </c>
      <c r="B422" s="206">
        <v>6409</v>
      </c>
      <c r="C422" s="142">
        <v>2328</v>
      </c>
      <c r="D422" s="139"/>
      <c r="E422" s="41" t="s">
        <v>375</v>
      </c>
      <c r="F422" s="158">
        <v>0</v>
      </c>
      <c r="G422" s="158">
        <v>0</v>
      </c>
      <c r="H422" s="158">
        <v>2</v>
      </c>
      <c r="I422" s="390">
        <v>0</v>
      </c>
      <c r="J422" s="140"/>
      <c r="K422" s="192"/>
      <c r="L422" s="192"/>
      <c r="M422" s="192"/>
      <c r="N422" s="485"/>
    </row>
    <row r="423" spans="1:14" s="431" customFormat="1" ht="15" x14ac:dyDescent="0.25">
      <c r="A423" s="141" t="s">
        <v>374</v>
      </c>
      <c r="B423" s="589">
        <v>6330</v>
      </c>
      <c r="C423" s="588">
        <v>4134</v>
      </c>
      <c r="D423" s="49"/>
      <c r="E423" s="41" t="s">
        <v>16</v>
      </c>
      <c r="F423" s="158"/>
      <c r="G423" s="158"/>
      <c r="H423" s="158">
        <v>86100</v>
      </c>
      <c r="I423" s="390">
        <v>0</v>
      </c>
      <c r="J423" s="140"/>
      <c r="K423" s="192"/>
      <c r="L423" s="192"/>
      <c r="M423" s="192">
        <v>86100000</v>
      </c>
      <c r="N423" s="485"/>
    </row>
    <row r="424" spans="1:14" s="431" customFormat="1" x14ac:dyDescent="0.2">
      <c r="A424" s="313" t="s">
        <v>374</v>
      </c>
      <c r="B424" s="109"/>
      <c r="C424" s="109"/>
      <c r="D424" s="111"/>
      <c r="E424" s="102" t="s">
        <v>81</v>
      </c>
      <c r="F424" s="310">
        <f>F418+F420+F422+F423</f>
        <v>0</v>
      </c>
      <c r="G424" s="310">
        <f t="shared" ref="G424:H424" si="103">G418+G420+G422+G423</f>
        <v>86100</v>
      </c>
      <c r="H424" s="310">
        <f t="shared" si="103"/>
        <v>172202</v>
      </c>
      <c r="I424" s="105">
        <f>H424/G424*100</f>
        <v>200.00232288037165</v>
      </c>
      <c r="J424" s="104"/>
      <c r="K424" s="370">
        <v>0</v>
      </c>
      <c r="L424" s="370">
        <v>86100000</v>
      </c>
      <c r="M424" s="370">
        <v>172202169.46000001</v>
      </c>
      <c r="N424" s="485"/>
    </row>
    <row r="425" spans="1:14" s="140" customFormat="1" x14ac:dyDescent="0.2">
      <c r="A425" s="612"/>
      <c r="B425" s="614"/>
      <c r="C425" s="614"/>
      <c r="D425" s="615"/>
      <c r="E425" s="616"/>
      <c r="F425" s="638">
        <f>SUM(F424,F417,F409,F404,F399,F356,F348,F341,F336,F314,F300)</f>
        <v>0</v>
      </c>
      <c r="G425" s="638">
        <f t="shared" ref="G425:H425" si="104">SUM(G424,G417,G409,G404,G399,G356,G348,G341,G336,G314,G300)</f>
        <v>385863</v>
      </c>
      <c r="H425" s="638">
        <f t="shared" si="104"/>
        <v>994497</v>
      </c>
      <c r="I425" s="639"/>
      <c r="K425" s="192"/>
      <c r="L425" s="192"/>
      <c r="M425" s="192"/>
      <c r="N425" s="351"/>
    </row>
    <row r="426" spans="1:14" ht="13.5" customHeight="1" thickBot="1" x14ac:dyDescent="0.25">
      <c r="A426" s="85"/>
      <c r="F426" s="640"/>
      <c r="G426" s="641"/>
      <c r="H426" s="640"/>
      <c r="I426" s="642" t="s">
        <v>0</v>
      </c>
    </row>
    <row r="427" spans="1:14" s="35" customFormat="1" ht="24.95" customHeight="1" thickTop="1" thickBot="1" x14ac:dyDescent="0.25">
      <c r="A427" s="504" t="s">
        <v>53</v>
      </c>
      <c r="B427" s="66" t="s">
        <v>10</v>
      </c>
      <c r="C427" s="31" t="s">
        <v>2</v>
      </c>
      <c r="D427" s="344" t="s">
        <v>314</v>
      </c>
      <c r="E427" s="32" t="s">
        <v>3</v>
      </c>
      <c r="F427" s="511" t="s">
        <v>291</v>
      </c>
      <c r="G427" s="511" t="s">
        <v>292</v>
      </c>
      <c r="H427" s="33" t="s">
        <v>14</v>
      </c>
      <c r="I427" s="34" t="s">
        <v>15</v>
      </c>
      <c r="K427" s="137"/>
      <c r="L427" s="137"/>
      <c r="M427" s="137"/>
      <c r="N427" s="285"/>
    </row>
    <row r="428" spans="1:14" s="36" customFormat="1" ht="15" customHeight="1" thickTop="1" x14ac:dyDescent="0.2">
      <c r="A428" s="80">
        <v>1</v>
      </c>
      <c r="B428" s="75">
        <v>2</v>
      </c>
      <c r="C428" s="76">
        <v>3</v>
      </c>
      <c r="D428" s="75">
        <v>4</v>
      </c>
      <c r="E428" s="76">
        <v>5</v>
      </c>
      <c r="F428" s="75">
        <v>6</v>
      </c>
      <c r="G428" s="77">
        <v>7</v>
      </c>
      <c r="H428" s="78">
        <v>8</v>
      </c>
      <c r="I428" s="79" t="s">
        <v>54</v>
      </c>
      <c r="J428" s="35"/>
      <c r="K428" s="184"/>
      <c r="L428" s="184"/>
      <c r="M428" s="184"/>
      <c r="N428" s="286"/>
    </row>
    <row r="429" spans="1:14" ht="15" x14ac:dyDescent="0.25">
      <c r="A429" s="86" t="s">
        <v>78</v>
      </c>
      <c r="B429" s="320">
        <v>6172</v>
      </c>
      <c r="C429" s="99">
        <v>2324</v>
      </c>
      <c r="D429" s="62"/>
      <c r="E429" s="55" t="s">
        <v>18</v>
      </c>
      <c r="F429" s="158"/>
      <c r="G429" s="188"/>
      <c r="H429" s="235">
        <v>26</v>
      </c>
      <c r="I429" s="16">
        <v>0</v>
      </c>
    </row>
    <row r="430" spans="1:14" ht="15" x14ac:dyDescent="0.25">
      <c r="A430" s="86" t="s">
        <v>78</v>
      </c>
      <c r="B430" s="320">
        <v>6310</v>
      </c>
      <c r="C430" s="99">
        <v>2141</v>
      </c>
      <c r="D430" s="62"/>
      <c r="E430" s="53" t="s">
        <v>8</v>
      </c>
      <c r="F430" s="158">
        <v>2</v>
      </c>
      <c r="G430" s="188">
        <v>2</v>
      </c>
      <c r="H430" s="235">
        <v>0</v>
      </c>
      <c r="I430" s="16">
        <f>(H430/G430)*100</f>
        <v>0</v>
      </c>
    </row>
    <row r="431" spans="1:14" ht="15" x14ac:dyDescent="0.25">
      <c r="A431" s="86" t="s">
        <v>78</v>
      </c>
      <c r="B431" s="320">
        <v>6330</v>
      </c>
      <c r="C431" s="99">
        <v>4132</v>
      </c>
      <c r="D431" s="62"/>
      <c r="E431" s="58" t="s">
        <v>25</v>
      </c>
      <c r="F431" s="158"/>
      <c r="G431" s="188"/>
      <c r="H431" s="235">
        <v>822</v>
      </c>
      <c r="I431" s="16">
        <v>0</v>
      </c>
    </row>
    <row r="432" spans="1:14" ht="15" x14ac:dyDescent="0.25">
      <c r="A432" s="86" t="s">
        <v>78</v>
      </c>
      <c r="B432" s="320">
        <v>6330</v>
      </c>
      <c r="C432" s="99">
        <v>4134</v>
      </c>
      <c r="D432" s="62"/>
      <c r="E432" s="54" t="s">
        <v>16</v>
      </c>
      <c r="F432" s="158">
        <v>8240</v>
      </c>
      <c r="G432" s="188">
        <v>8408</v>
      </c>
      <c r="H432" s="235">
        <v>7768</v>
      </c>
      <c r="I432" s="16">
        <f>(H432/G432)*100</f>
        <v>92.38820171265462</v>
      </c>
      <c r="M432" s="123">
        <v>7768300</v>
      </c>
      <c r="N432" s="19" t="s">
        <v>121</v>
      </c>
    </row>
    <row r="433" spans="1:17" s="104" customFormat="1" x14ac:dyDescent="0.2">
      <c r="A433" s="313" t="s">
        <v>78</v>
      </c>
      <c r="B433" s="109"/>
      <c r="C433" s="109"/>
      <c r="D433" s="111"/>
      <c r="E433" s="102" t="s">
        <v>81</v>
      </c>
      <c r="F433" s="310">
        <f>F430+F432</f>
        <v>8242</v>
      </c>
      <c r="G433" s="310">
        <f>G430+G432</f>
        <v>8410</v>
      </c>
      <c r="H433" s="310">
        <f>H429+H430+H431+H432</f>
        <v>8616</v>
      </c>
      <c r="I433" s="105">
        <f>(H433/G433)*100</f>
        <v>102.44946492271106</v>
      </c>
      <c r="K433" s="370">
        <v>8242000</v>
      </c>
      <c r="L433" s="370">
        <v>8410300</v>
      </c>
      <c r="M433" s="370">
        <v>8616102.9900000002</v>
      </c>
      <c r="N433" s="307"/>
    </row>
    <row r="434" spans="1:17" s="628" customFormat="1" ht="30" x14ac:dyDescent="0.2">
      <c r="A434" s="631" t="s">
        <v>79</v>
      </c>
      <c r="B434" s="320">
        <v>2399</v>
      </c>
      <c r="C434" s="632">
        <v>2342</v>
      </c>
      <c r="D434" s="633"/>
      <c r="E434" s="477" t="s">
        <v>386</v>
      </c>
      <c r="F434" s="164">
        <v>50000</v>
      </c>
      <c r="G434" s="165">
        <v>50000</v>
      </c>
      <c r="H434" s="634">
        <v>53673</v>
      </c>
      <c r="I434" s="635">
        <f>(H434/G434)*100</f>
        <v>107.346</v>
      </c>
      <c r="K434" s="629"/>
      <c r="L434" s="629"/>
      <c r="M434" s="629"/>
      <c r="N434" s="630"/>
    </row>
    <row r="435" spans="1:17" ht="15" x14ac:dyDescent="0.25">
      <c r="A435" s="86" t="s">
        <v>79</v>
      </c>
      <c r="B435" s="320">
        <v>6402</v>
      </c>
      <c r="C435" s="99">
        <v>2223</v>
      </c>
      <c r="D435" s="535" t="s">
        <v>217</v>
      </c>
      <c r="E435" s="55" t="s">
        <v>35</v>
      </c>
      <c r="F435" s="158"/>
      <c r="G435" s="187">
        <v>415</v>
      </c>
      <c r="H435" s="190">
        <v>3082</v>
      </c>
      <c r="I435" s="56">
        <f>H435/G435*100</f>
        <v>742.65060240963851</v>
      </c>
    </row>
    <row r="436" spans="1:17" ht="15" hidden="1" x14ac:dyDescent="0.25">
      <c r="A436" s="86" t="s">
        <v>79</v>
      </c>
      <c r="B436" s="320">
        <v>6409</v>
      </c>
      <c r="C436" s="99">
        <v>2328</v>
      </c>
      <c r="D436" s="62"/>
      <c r="E436" s="46" t="s">
        <v>11</v>
      </c>
      <c r="F436" s="158"/>
      <c r="G436" s="187"/>
      <c r="H436" s="190"/>
      <c r="I436" s="56">
        <v>0</v>
      </c>
    </row>
    <row r="437" spans="1:17" s="104" customFormat="1" ht="15" thickBot="1" x14ac:dyDescent="0.25">
      <c r="A437" s="271" t="s">
        <v>79</v>
      </c>
      <c r="B437" s="273"/>
      <c r="C437" s="273"/>
      <c r="D437" s="274"/>
      <c r="E437" s="275" t="s">
        <v>81</v>
      </c>
      <c r="F437" s="318">
        <f>SUM(F434:F436)</f>
        <v>50000</v>
      </c>
      <c r="G437" s="318">
        <f>G434+G435</f>
        <v>50415</v>
      </c>
      <c r="H437" s="318">
        <f>H434+H435+H436</f>
        <v>56755</v>
      </c>
      <c r="I437" s="278">
        <f>(H437/G437)*100</f>
        <v>112.57562233462264</v>
      </c>
      <c r="K437" s="370">
        <v>50000000</v>
      </c>
      <c r="L437" s="370">
        <v>50414575.359999999</v>
      </c>
      <c r="M437" s="370">
        <v>56755453.710000001</v>
      </c>
      <c r="N437" s="347"/>
    </row>
    <row r="438" spans="1:17" ht="15.75" thickTop="1" x14ac:dyDescent="0.25">
      <c r="A438" s="398"/>
      <c r="B438" s="399"/>
      <c r="C438" s="399"/>
      <c r="D438" s="399"/>
      <c r="E438" s="399"/>
      <c r="F438" s="637">
        <f>SUM(F437,F433)</f>
        <v>58242</v>
      </c>
      <c r="G438" s="637">
        <f t="shared" ref="G438:H438" si="105">SUM(G437,G433)</f>
        <v>58825</v>
      </c>
      <c r="H438" s="637">
        <f t="shared" si="105"/>
        <v>65371</v>
      </c>
      <c r="I438" s="322"/>
      <c r="K438" s="177">
        <f>K404+K409+K417+K433+K437+K424</f>
        <v>58242000</v>
      </c>
      <c r="L438" s="177">
        <f>L404+L409+L417+L433+L437+L424</f>
        <v>241928692.86000001</v>
      </c>
      <c r="M438" s="177">
        <f>M404+M409+M417+M433+M437+M424</f>
        <v>431872778.13999999</v>
      </c>
    </row>
    <row r="439" spans="1:17" ht="15" x14ac:dyDescent="0.25">
      <c r="A439" s="87"/>
      <c r="B439" s="88"/>
      <c r="C439" s="88"/>
      <c r="D439" s="88"/>
      <c r="E439" s="88"/>
      <c r="F439" s="280"/>
      <c r="G439" s="280"/>
      <c r="H439" s="280"/>
      <c r="I439" s="322"/>
      <c r="K439" s="137"/>
      <c r="L439" s="137"/>
      <c r="M439" s="137"/>
    </row>
    <row r="440" spans="1:17" ht="15" x14ac:dyDescent="0.25">
      <c r="A440" s="87"/>
      <c r="B440" s="88"/>
      <c r="C440" s="88"/>
      <c r="D440" s="88"/>
      <c r="E440" s="88"/>
      <c r="F440" s="280"/>
      <c r="G440" s="280"/>
      <c r="H440" s="280"/>
      <c r="I440" s="322"/>
      <c r="K440" s="137"/>
      <c r="L440" s="137"/>
      <c r="M440" s="137"/>
    </row>
    <row r="441" spans="1:17" s="14" customFormat="1" ht="25.5" customHeight="1" x14ac:dyDescent="0.25">
      <c r="A441" s="89" t="s">
        <v>6</v>
      </c>
      <c r="B441" s="89"/>
      <c r="C441" s="90"/>
      <c r="D441" s="91"/>
      <c r="E441" s="90"/>
      <c r="F441" s="400">
        <f>SUM(F438,F425,F289,F186,F99)</f>
        <v>4563095</v>
      </c>
      <c r="G441" s="400">
        <f t="shared" ref="G441" si="106">SUM(G438,G425,G289,G186,G99)</f>
        <v>12681472</v>
      </c>
      <c r="H441" s="400">
        <f>SUM(H438,H425,H289,H186,H99)</f>
        <v>27530585.399999999</v>
      </c>
      <c r="I441" s="401">
        <f>(H441/G441)*100</f>
        <v>217.09297942699396</v>
      </c>
      <c r="J441" s="391"/>
      <c r="K441" s="406">
        <f>K8+K18+K28+K98+K112+K124+K185+K203+K215+K235+K250+K257+K271+K279+K284+K300+K314+K336+K341+K348+K356+K399+K404+K409+K417+K424+K433+K437+K362+K367+K281+K375</f>
        <v>4563095000</v>
      </c>
      <c r="L441" s="406">
        <f t="shared" ref="L441:M441" si="107">L8+L18+L28+L98+L112+L124+L185+L203+L215+L235+L250+L257+L271+L279+L284+L300+L314+L336+L341+L348+L356+L399+L404+L409+L417+L424+L433+L437+L362+L367+L281+L375</f>
        <v>12681472148.149998</v>
      </c>
      <c r="M441" s="406">
        <f t="shared" si="107"/>
        <v>27530585149.019997</v>
      </c>
      <c r="N441" s="285"/>
      <c r="O441" s="323" t="s">
        <v>135</v>
      </c>
      <c r="P441" s="208">
        <v>1645199400.0799999</v>
      </c>
      <c r="Q441" s="258" t="s">
        <v>378</v>
      </c>
    </row>
    <row r="442" spans="1:17" s="14" customFormat="1" ht="21.75" customHeight="1" x14ac:dyDescent="0.2">
      <c r="A442" s="47" t="s">
        <v>19</v>
      </c>
      <c r="B442" s="47"/>
      <c r="C442" s="26"/>
      <c r="D442" s="27"/>
      <c r="E442" s="363"/>
      <c r="F442" s="161">
        <v>8240</v>
      </c>
      <c r="G442" s="161">
        <v>8408</v>
      </c>
      <c r="H442" s="161">
        <f>H432+H96+H282+H280+H299+H313+H335+H340+H347+H355+H398+H402+H408+H416+H423</f>
        <v>14526118</v>
      </c>
      <c r="I442" s="540">
        <f>(H442/G442)*100</f>
        <v>172765.43767840153</v>
      </c>
      <c r="K442" s="301">
        <v>8240000</v>
      </c>
      <c r="L442" s="301">
        <v>8408300</v>
      </c>
      <c r="M442" s="301">
        <f>M94+M283+M432+M423+M416+M408+M403+M398+M355+M348+M340+M335+M313+M299+M281</f>
        <v>14526118475.27</v>
      </c>
      <c r="N442" s="285"/>
      <c r="O442" s="324" t="s">
        <v>134</v>
      </c>
      <c r="P442" s="208">
        <v>1388686982.3199999</v>
      </c>
      <c r="Q442" s="207" t="s">
        <v>379</v>
      </c>
    </row>
    <row r="443" spans="1:17" s="14" customFormat="1" ht="35.25" customHeight="1" thickBot="1" x14ac:dyDescent="0.3">
      <c r="A443" s="92" t="s">
        <v>80</v>
      </c>
      <c r="B443" s="92"/>
      <c r="C443" s="92"/>
      <c r="D443" s="92"/>
      <c r="E443" s="92"/>
      <c r="F443" s="325">
        <f>SUM(F441-F442)</f>
        <v>4554855</v>
      </c>
      <c r="G443" s="325">
        <f>SUM(G441-G442)</f>
        <v>12673064</v>
      </c>
      <c r="H443" s="325">
        <f>SUM(H441-H442)</f>
        <v>13004467.399999999</v>
      </c>
      <c r="I443" s="228">
        <f>(H443/G443)*100</f>
        <v>102.61502190788272</v>
      </c>
      <c r="K443" s="301">
        <f>K441-K442</f>
        <v>4554855000</v>
      </c>
      <c r="L443" s="301">
        <f>L441-L442</f>
        <v>12673063848.149998</v>
      </c>
      <c r="M443" s="301">
        <f>M441-M442</f>
        <v>13004466673.749996</v>
      </c>
      <c r="N443" s="301"/>
      <c r="O443" s="326"/>
    </row>
    <row r="444" spans="1:17" ht="15.75" thickTop="1" x14ac:dyDescent="0.25">
      <c r="A444" s="87"/>
      <c r="B444" s="88"/>
      <c r="C444" s="88"/>
      <c r="D444" s="88"/>
      <c r="E444" s="88"/>
      <c r="F444" s="229"/>
      <c r="G444" s="54"/>
      <c r="H444" s="230"/>
      <c r="I444" s="231"/>
    </row>
    <row r="445" spans="1:17" s="14" customFormat="1" ht="15.75" customHeight="1" x14ac:dyDescent="0.25">
      <c r="A445" s="327"/>
      <c r="B445" s="327"/>
      <c r="C445" s="327"/>
      <c r="D445" s="327"/>
      <c r="E445" s="327"/>
      <c r="F445" s="232"/>
      <c r="G445" s="232"/>
      <c r="H445" s="232"/>
      <c r="I445" s="233"/>
      <c r="K445" s="137"/>
      <c r="L445" s="137"/>
      <c r="M445" s="137"/>
      <c r="N445" s="285"/>
    </row>
    <row r="446" spans="1:17" s="14" customFormat="1" ht="18" x14ac:dyDescent="0.25">
      <c r="A446" s="328" t="s">
        <v>22</v>
      </c>
      <c r="B446" s="328"/>
      <c r="C446" s="329"/>
      <c r="D446" s="330"/>
      <c r="E446" s="331"/>
      <c r="F446" s="331"/>
      <c r="G446" s="189"/>
      <c r="H446" s="2"/>
      <c r="I446" s="2"/>
      <c r="K446" s="137"/>
      <c r="L446" s="137"/>
      <c r="M446" s="137"/>
      <c r="N446" s="285"/>
    </row>
    <row r="447" spans="1:17" x14ac:dyDescent="0.2">
      <c r="A447" s="332" t="s">
        <v>23</v>
      </c>
      <c r="B447" s="332"/>
      <c r="C447" s="332"/>
      <c r="D447" s="333"/>
      <c r="E447" s="332"/>
      <c r="F447" s="332"/>
    </row>
    <row r="448" spans="1:17" x14ac:dyDescent="0.2">
      <c r="B448" s="332"/>
      <c r="C448" s="332"/>
      <c r="D448" s="333"/>
      <c r="E448" s="332"/>
      <c r="F448" s="332"/>
      <c r="H448" s="29"/>
    </row>
    <row r="449" spans="1:16" x14ac:dyDescent="0.2">
      <c r="C449" s="243"/>
      <c r="D449" s="223"/>
    </row>
    <row r="450" spans="1:16" x14ac:dyDescent="0.2">
      <c r="C450" s="243"/>
      <c r="D450" s="223"/>
      <c r="E450" s="223"/>
      <c r="G450" s="28"/>
    </row>
    <row r="451" spans="1:16" s="219" customFormat="1" x14ac:dyDescent="0.2">
      <c r="A451" s="334"/>
      <c r="B451" s="335"/>
      <c r="C451" s="225"/>
      <c r="D451" s="220"/>
      <c r="E451" s="220"/>
      <c r="F451" s="215"/>
      <c r="G451" s="215"/>
      <c r="H451" s="215"/>
      <c r="I451" s="215"/>
      <c r="K451" s="218"/>
      <c r="L451" s="218"/>
      <c r="M451" s="218"/>
      <c r="N451" s="336"/>
    </row>
    <row r="452" spans="1:16" s="219" customFormat="1" x14ac:dyDescent="0.2">
      <c r="A452" s="334"/>
      <c r="B452" s="335"/>
      <c r="C452" s="225"/>
      <c r="D452" s="412" t="s">
        <v>112</v>
      </c>
      <c r="E452" s="220"/>
      <c r="F452" s="411">
        <f>SUM(F433)</f>
        <v>8242</v>
      </c>
      <c r="G452" s="411">
        <f>SUM(G433)</f>
        <v>8410</v>
      </c>
      <c r="H452" s="411">
        <f>SUM(H433)</f>
        <v>8616</v>
      </c>
      <c r="I452" s="215"/>
      <c r="K452" s="217">
        <f>SUM(K433)</f>
        <v>8242000</v>
      </c>
      <c r="L452" s="217">
        <f>SUM(L433)</f>
        <v>8410300</v>
      </c>
      <c r="M452" s="217">
        <f>SUM(M433)</f>
        <v>8616102.9900000002</v>
      </c>
      <c r="N452" s="337"/>
    </row>
    <row r="453" spans="1:16" s="219" customFormat="1" x14ac:dyDescent="0.2">
      <c r="A453" s="334"/>
      <c r="B453" s="335"/>
      <c r="C453" s="225"/>
      <c r="D453" s="412" t="s">
        <v>113</v>
      </c>
      <c r="E453" s="413"/>
      <c r="F453" s="411">
        <f>SUM(F437)</f>
        <v>50000</v>
      </c>
      <c r="G453" s="411">
        <f>SUM(G437)</f>
        <v>50415</v>
      </c>
      <c r="H453" s="411">
        <f t="shared" ref="H453" si="108">SUM(H437)</f>
        <v>56755</v>
      </c>
      <c r="I453" s="215"/>
      <c r="J453" s="215"/>
      <c r="K453" s="217">
        <f>SUM(K437)</f>
        <v>50000000</v>
      </c>
      <c r="L453" s="217">
        <f t="shared" ref="L453:M453" si="109">SUM(L437)</f>
        <v>50414575.359999999</v>
      </c>
      <c r="M453" s="217">
        <f t="shared" si="109"/>
        <v>56755453.710000001</v>
      </c>
      <c r="N453" s="337"/>
    </row>
    <row r="454" spans="1:16" s="219" customFormat="1" x14ac:dyDescent="0.2">
      <c r="A454" s="334"/>
      <c r="B454" s="335"/>
      <c r="C454" s="225"/>
      <c r="D454" s="412" t="s">
        <v>107</v>
      </c>
      <c r="E454" s="413"/>
      <c r="F454" s="411">
        <f>SUM(F250,F239,F235,F222,F215,F203,F185,F124,F112,F98,F32,F28,F18,F8,F257,F271,F279)</f>
        <v>4504853</v>
      </c>
      <c r="G454" s="411">
        <f>SUM(G250,G239,G235,G222,G215,G203,G185,G124,G112,G98,G32,G28,G18,G8,G257,G271,G279)</f>
        <v>12236784</v>
      </c>
      <c r="H454" s="411">
        <f>SUM(H250,H239,H235,H222,H215,H203,H185,H124,H112,H98,H32,H28,H18,H8,H257,H271,H279)</f>
        <v>25437596.399999999</v>
      </c>
      <c r="I454" s="215"/>
      <c r="J454" s="215"/>
      <c r="K454" s="217">
        <f>SUM(K8,K18,K28,K32,K98,K112,K124,K185,K203,K215,K222,K235,K239,K250,K257,K271)</f>
        <v>4504853000</v>
      </c>
      <c r="L454" s="217">
        <f>SUM(L8,L18,L28,L32,L98,L112,L124,L185,L203,L215,L222,L235,L239,L250,L257,L271,L279)</f>
        <v>12236783533.859997</v>
      </c>
      <c r="M454" s="217">
        <f>SUM(M8,M18,M28,M32,M98,M112,M124,M185,M203,M215,M222,M235,M239,M250,M257,M271,M279)</f>
        <v>25437596209.939999</v>
      </c>
      <c r="N454" s="337"/>
    </row>
    <row r="455" spans="1:16" s="219" customFormat="1" x14ac:dyDescent="0.2">
      <c r="A455" s="334"/>
      <c r="B455" s="335"/>
      <c r="C455" s="225"/>
      <c r="D455" s="412" t="s">
        <v>106</v>
      </c>
      <c r="E455" s="414"/>
      <c r="F455" s="411">
        <f>SUM(F284,F300,F314,F317,F321,F336,F341,F348,F356,F362,F367,F375,F377,F381,F319,F385,F387,F399,F404,F409,F417,F424,F281)</f>
        <v>0</v>
      </c>
      <c r="G455" s="411">
        <f>SUM(G284,G300,G314,G317,G321,G336,G341,G348,G356,G362,G367,G375,G377,G381,G319,G385,G387,G399,G404,G409,G417,G424,G281)</f>
        <v>385863</v>
      </c>
      <c r="H455" s="411">
        <f>SUM(H284,H300,H314,H317,H321,H336,H341,H348,H356,H362,H367,H375,H377,H381,H319,H385,H387,H399,H404,H409,H417,H424,H281)</f>
        <v>2027618</v>
      </c>
      <c r="I455" s="215"/>
      <c r="J455" s="215"/>
      <c r="K455" s="217">
        <f>SUM(K284,K300,K314,K317,K319,K321,K336,K341,K348,K362,K367,K375,K377,K381,K385,K387,K399,K404,K356,K409,K417)</f>
        <v>0</v>
      </c>
      <c r="L455" s="217">
        <f>SUM(L284,L300,L314,L336,L341,L348,L362,L367,L375,L377,L381,L385,L387,L399,L404,L356,L409,L417,L424)</f>
        <v>385863738.93000007</v>
      </c>
      <c r="M455" s="217">
        <f>SUM(M284,M300,M314,M336,M341,M348,M362,M367,M375,M377,M381,M385,M387,M399,M404,M356,M409,M417,M424,M281)</f>
        <v>2027617382.3799999</v>
      </c>
      <c r="N455" s="215"/>
    </row>
    <row r="456" spans="1:16" s="219" customFormat="1" ht="15" thickBot="1" x14ac:dyDescent="0.25">
      <c r="A456" s="334"/>
      <c r="B456" s="335"/>
      <c r="C456" s="225"/>
      <c r="D456" s="415"/>
      <c r="E456" s="338"/>
      <c r="F456" s="501">
        <f>F452+F453+F454+F455</f>
        <v>4563095</v>
      </c>
      <c r="G456" s="501">
        <f>G452+G453+G454+G455</f>
        <v>12681472</v>
      </c>
      <c r="H456" s="501">
        <f>H452+H453+H454+H455</f>
        <v>27530585.399999999</v>
      </c>
      <c r="I456" s="160"/>
      <c r="J456" s="216"/>
      <c r="K456" s="339">
        <f>K452+K453+K454+K455</f>
        <v>4563095000</v>
      </c>
      <c r="L456" s="339">
        <f t="shared" ref="L456" si="110">L452+L453+L454+L455</f>
        <v>12681472148.149998</v>
      </c>
      <c r="M456" s="339">
        <f>M452+M453+M454+M455</f>
        <v>27530585149.02</v>
      </c>
      <c r="N456" s="337"/>
    </row>
    <row r="457" spans="1:16" s="219" customFormat="1" ht="15" thickTop="1" x14ac:dyDescent="0.2">
      <c r="A457" s="334"/>
      <c r="B457" s="335"/>
      <c r="C457" s="225"/>
      <c r="D457" s="416" t="s">
        <v>133</v>
      </c>
      <c r="E457" s="340"/>
      <c r="F457" s="419">
        <f>F442</f>
        <v>8240</v>
      </c>
      <c r="G457" s="419">
        <f>G442</f>
        <v>8408</v>
      </c>
      <c r="H457" s="419">
        <f>H442</f>
        <v>14526118</v>
      </c>
      <c r="I457" s="160"/>
      <c r="J457" s="341"/>
      <c r="K457" s="402">
        <f>K442</f>
        <v>8240000</v>
      </c>
      <c r="L457" s="402">
        <f>L442</f>
        <v>8408300</v>
      </c>
      <c r="M457" s="402">
        <f>M442</f>
        <v>14526118475.27</v>
      </c>
      <c r="N457" s="337"/>
    </row>
    <row r="458" spans="1:16" s="219" customFormat="1" ht="15" thickBot="1" x14ac:dyDescent="0.25">
      <c r="A458" s="334"/>
      <c r="B458" s="335"/>
      <c r="C458" s="225"/>
      <c r="D458" s="417" t="s">
        <v>125</v>
      </c>
      <c r="E458" s="342"/>
      <c r="F458" s="418">
        <f>F456-F457</f>
        <v>4554855</v>
      </c>
      <c r="G458" s="418">
        <f>G456-G457</f>
        <v>12673064</v>
      </c>
      <c r="H458" s="418">
        <f>H456-H457</f>
        <v>13004467.399999999</v>
      </c>
      <c r="I458" s="160"/>
      <c r="J458" s="343"/>
      <c r="K458" s="226">
        <f>K456-K457</f>
        <v>4554855000</v>
      </c>
      <c r="L458" s="226">
        <f>L456-L457</f>
        <v>12673063848.149998</v>
      </c>
      <c r="M458" s="226">
        <f>M456-M457</f>
        <v>13004466673.75</v>
      </c>
      <c r="N458" s="337"/>
      <c r="O458" s="577">
        <f>M443</f>
        <v>13004466673.749996</v>
      </c>
      <c r="P458" s="577">
        <f>M458-O458</f>
        <v>0</v>
      </c>
    </row>
    <row r="459" spans="1:16" s="219" customFormat="1" ht="15" thickTop="1" x14ac:dyDescent="0.2">
      <c r="A459" s="334"/>
      <c r="B459" s="335"/>
      <c r="C459" s="225"/>
      <c r="D459" s="220"/>
      <c r="E459" s="221"/>
      <c r="F459" s="215"/>
      <c r="G459" s="222"/>
      <c r="H459" s="215"/>
      <c r="I459" s="160"/>
      <c r="K459" s="218"/>
      <c r="L459" s="218"/>
      <c r="M459" s="218"/>
      <c r="N459" s="337"/>
    </row>
    <row r="460" spans="1:16" s="219" customFormat="1" x14ac:dyDescent="0.2">
      <c r="A460" s="334"/>
      <c r="B460" s="335"/>
      <c r="C460" s="225"/>
      <c r="D460" s="220"/>
      <c r="E460" s="221"/>
      <c r="F460" s="215"/>
      <c r="G460" s="222"/>
      <c r="H460" s="215"/>
      <c r="I460" s="160"/>
      <c r="K460" s="218"/>
      <c r="L460" s="218"/>
      <c r="M460" s="218"/>
      <c r="N460" s="337"/>
    </row>
    <row r="461" spans="1:16" s="219" customFormat="1" x14ac:dyDescent="0.2">
      <c r="A461" s="334"/>
      <c r="B461" s="335"/>
      <c r="C461" s="225"/>
      <c r="D461" s="412" t="s">
        <v>108</v>
      </c>
      <c r="E461" s="420"/>
      <c r="F461" s="411">
        <f>SUM(F223,F204,F125,F114,F33:F38,F29,F272,F19,F113)</f>
        <v>4101290</v>
      </c>
      <c r="G461" s="411">
        <f>SUM(G223,G204,G125,G114,G33:G38,G29,G272,G19,G113)</f>
        <v>4151872</v>
      </c>
      <c r="H461" s="411">
        <f>SUM(H223,H204,H125,H114,H33:H38,H29,H272,H19,H113)</f>
        <v>4517124</v>
      </c>
      <c r="I461" s="160"/>
      <c r="K461" s="217">
        <v>4101290000</v>
      </c>
      <c r="L461" s="217">
        <v>4151871870</v>
      </c>
      <c r="M461" s="217">
        <v>4517124422.2700005</v>
      </c>
      <c r="N461" s="337"/>
    </row>
    <row r="462" spans="1:16" s="219" customFormat="1" x14ac:dyDescent="0.2">
      <c r="A462" s="334"/>
      <c r="B462" s="335"/>
      <c r="C462" s="225"/>
      <c r="D462" s="412" t="s">
        <v>109</v>
      </c>
      <c r="E462" s="420"/>
      <c r="F462" s="411">
        <f>SUM(F7,F9:F14,F16,F20:F24,F30:F31,F88:F94,F97:F97,F109:F110,F115:F121,F175:F184,F198:F201,F205:F214,F216:F221,F230:F234,F237:F238,F246:F248,F251:F255,F266,F283,F298,F315:F316,F318,F320,F345,F357:F361,F363:F366,F371:F374,F376,F386,F403,F415,F429:F430,F434:F436,F106,F107,F122,F202,F258,F259,F261,F262,F264,F265,F268,F273,F274,F275,F276,F278,F378,F382,F17,F422,F310:F311,F296:F297,F277,F269:F270,F267,F263,F260,F256,F249,F245,F174,,F111,F108,F105,F104)</f>
        <v>302928.59999999998</v>
      </c>
      <c r="G462" s="411">
        <f t="shared" ref="G462" si="111">SUM(G7,G9:G14,G16,G20:G24,G30:G31,G88:G94,G97:G97,G109:G110,G115:G121,G175:G184,G198:G201,G205:G214,G216:G221,G230:G234,G237:G238,G246:G248,G251:G255,G266,G283,G298,G315:G316,G318,G320,G345,G357:G361,G363:G366,G371:G374,G376,G386,G403,G415,G429:G430,G434:G436,G106,G107,G122,G202,G258,G259,G261,G262,G264,G265,G268,G273,G274,G275,G276,G278,G378,G382,G17,G422,G310:G311,G296:G297,G277,G269:G270,G267,G263,G260,G256,G249,G245,G174,,G111,G108,G105,G104)</f>
        <v>413196.6</v>
      </c>
      <c r="H462" s="411">
        <f>SUM(H7,H9:H14,H16,H20:H24,H30:H31,H88:H94,H97:H97,H109:H110,H115:H121,H175:H184,H198:H201,H205:H214,H216:H221,H230:H234,H237:H238,H246:H248,H251:H255,H266,H283,H298,H315:H316,H318,H320,H345,H357:H361,H363:H366,H371:H374,H376,H386,H403,H415,H429:H430,H434:H436,H106,H107,H122,H202,H258,H259,H261,H262,H264,H265,H268,H273,H274,H275,H276,H278,H378,H382,H17,H422,H310:H311,H296:H297,H277,H269:H270,H267,H263,H260,H256,H249,H245,H174,,H111,H108,H105,H104)</f>
        <v>431102</v>
      </c>
      <c r="I462" s="160"/>
      <c r="K462" s="217">
        <v>302928600</v>
      </c>
      <c r="L462" s="505">
        <v>413196624.19</v>
      </c>
      <c r="M462" s="217">
        <v>431101955.73000002</v>
      </c>
      <c r="N462" s="337"/>
    </row>
    <row r="463" spans="1:16" s="219" customFormat="1" x14ac:dyDescent="0.2">
      <c r="A463" s="334"/>
      <c r="B463" s="335"/>
      <c r="C463" s="225"/>
      <c r="D463" s="412" t="s">
        <v>110</v>
      </c>
      <c r="E463" s="420"/>
      <c r="F463" s="411">
        <f>F15+F25+F26+F27</f>
        <v>13200</v>
      </c>
      <c r="G463" s="411">
        <f t="shared" ref="G463:H463" si="112">G15+G25+G26+G27</f>
        <v>13200</v>
      </c>
      <c r="H463" s="411">
        <f t="shared" si="112"/>
        <v>14341</v>
      </c>
      <c r="I463" s="160"/>
      <c r="K463" s="217">
        <v>13200000</v>
      </c>
      <c r="L463" s="217">
        <v>13200000</v>
      </c>
      <c r="M463" s="217">
        <v>14341001.800000001</v>
      </c>
      <c r="N463" s="337"/>
      <c r="O463" s="337"/>
    </row>
    <row r="464" spans="1:16" s="219" customFormat="1" x14ac:dyDescent="0.2">
      <c r="A464" s="334"/>
      <c r="B464" s="335"/>
      <c r="C464" s="225"/>
      <c r="D464" s="412" t="s">
        <v>111</v>
      </c>
      <c r="E464" s="420"/>
      <c r="F464" s="411">
        <f>F39+F48+F49+F52+F80+F126+F169+F195+F242+F286+F295+F306+F310+F324+F326+F329+F333+F337+F349+F388+F393+F405+F410+F413+F95+F96+F431+F432+F78+F224+F227+F285+F293+F303+F352+F418+F420+F282+F423+F416+F408+F402+F398+F355+F347+F340+F335+F313+F299</f>
        <v>145676.4</v>
      </c>
      <c r="G464" s="411">
        <f t="shared" ref="G464:H464" si="113">G39+G48+G49+G52+G80+G126+G169+G195+G242+G286+G295+G306+G310+G324+G326+G329+G333+G337+G349+G388+G393+G405+G410+G413+G95+G96+G431+G432+G78+G224+G227+G285+G293+G303+G352+G418+G420+G282+G423+G416+G408+G402+G398+G355+G347+G340+G335+G313+G299</f>
        <v>8103203.4000000004</v>
      </c>
      <c r="H464" s="411">
        <f t="shared" si="113"/>
        <v>22568018.399999999</v>
      </c>
      <c r="I464" s="160"/>
      <c r="K464" s="217">
        <v>145676400</v>
      </c>
      <c r="L464" s="505">
        <v>8103203653.96</v>
      </c>
      <c r="M464" s="217">
        <f>22568017769.22-14526118475.27+M457</f>
        <v>22568017769.220001</v>
      </c>
      <c r="N464" s="503"/>
      <c r="O464" s="337">
        <v>7956544449.0100002</v>
      </c>
      <c r="P464" s="337" t="s">
        <v>199</v>
      </c>
    </row>
    <row r="465" spans="1:14" s="219" customFormat="1" ht="15" thickBot="1" x14ac:dyDescent="0.25">
      <c r="A465" s="334"/>
      <c r="B465" s="335"/>
      <c r="C465" s="225"/>
      <c r="D465" s="415"/>
      <c r="E465" s="421"/>
      <c r="F465" s="501">
        <f>F461+F462+F463+F464</f>
        <v>4563095</v>
      </c>
      <c r="G465" s="501">
        <f>G461+G462+G463+G464</f>
        <v>12681472</v>
      </c>
      <c r="H465" s="501">
        <f>H461+H462+H463+H464</f>
        <v>27530585.399999999</v>
      </c>
      <c r="I465" s="160"/>
      <c r="J465" s="216"/>
      <c r="K465" s="339">
        <f>K461+K462+K463+K464</f>
        <v>4563095000</v>
      </c>
      <c r="L465" s="506">
        <f>L461+L462+L463+L464</f>
        <v>12681472148.15</v>
      </c>
      <c r="M465" s="339">
        <f>M461+M462+M463+M464</f>
        <v>27530585149.02</v>
      </c>
      <c r="N465" s="337"/>
    </row>
    <row r="466" spans="1:14" s="219" customFormat="1" ht="15" thickTop="1" x14ac:dyDescent="0.2">
      <c r="A466" s="334"/>
      <c r="B466" s="335"/>
      <c r="C466" s="225"/>
      <c r="D466" s="220"/>
      <c r="E466" s="221"/>
      <c r="F466" s="215"/>
      <c r="G466" s="222"/>
      <c r="H466" s="215"/>
      <c r="I466" s="160"/>
      <c r="K466" s="218"/>
      <c r="L466" s="218"/>
      <c r="M466" s="218"/>
      <c r="N466" s="337"/>
    </row>
    <row r="467" spans="1:14" s="219" customFormat="1" x14ac:dyDescent="0.2">
      <c r="A467" s="334"/>
      <c r="B467" s="335"/>
      <c r="C467" s="225"/>
      <c r="D467" s="220" t="s">
        <v>122</v>
      </c>
      <c r="E467" s="392">
        <v>8113</v>
      </c>
      <c r="F467" s="215">
        <v>72216</v>
      </c>
      <c r="G467" s="222">
        <v>183833</v>
      </c>
      <c r="H467" s="215">
        <v>183833</v>
      </c>
      <c r="I467" s="160"/>
      <c r="K467" s="217">
        <v>72216000</v>
      </c>
      <c r="L467" s="217">
        <v>183833282.94</v>
      </c>
      <c r="M467" s="217">
        <v>183833282.94</v>
      </c>
      <c r="N467" s="337"/>
    </row>
    <row r="468" spans="1:14" s="219" customFormat="1" x14ac:dyDescent="0.2">
      <c r="A468" s="334"/>
      <c r="B468" s="335"/>
      <c r="C468" s="225"/>
      <c r="D468" s="220"/>
      <c r="E468" s="225">
        <v>8115</v>
      </c>
      <c r="F468" s="215">
        <v>247878</v>
      </c>
      <c r="G468" s="222">
        <v>878741</v>
      </c>
      <c r="H468" s="215">
        <v>878741</v>
      </c>
      <c r="I468" s="160"/>
      <c r="K468" s="217">
        <v>247878000</v>
      </c>
      <c r="L468" s="217">
        <v>878741317.61000001</v>
      </c>
      <c r="M468" s="217">
        <v>878741317.61000001</v>
      </c>
      <c r="N468" s="337"/>
    </row>
    <row r="469" spans="1:14" s="219" customFormat="1" x14ac:dyDescent="0.2">
      <c r="A469" s="334"/>
      <c r="B469" s="335"/>
      <c r="C469" s="225"/>
      <c r="D469" s="220"/>
      <c r="E469" s="225">
        <v>8905</v>
      </c>
      <c r="F469" s="403">
        <v>0</v>
      </c>
      <c r="G469" s="404">
        <v>0</v>
      </c>
      <c r="H469" s="403">
        <v>0</v>
      </c>
      <c r="I469" s="160"/>
      <c r="K469" s="405">
        <v>0</v>
      </c>
      <c r="L469" s="405">
        <v>0</v>
      </c>
      <c r="M469" s="405">
        <v>0</v>
      </c>
      <c r="N469" s="337"/>
    </row>
    <row r="470" spans="1:14" s="219" customFormat="1" x14ac:dyDescent="0.2">
      <c r="A470" s="334"/>
      <c r="B470" s="335"/>
      <c r="C470" s="225"/>
      <c r="D470" s="224" t="s">
        <v>123</v>
      </c>
      <c r="E470" s="221"/>
      <c r="F470" s="215">
        <f>F465+F467+F468+F469</f>
        <v>4883189</v>
      </c>
      <c r="G470" s="215">
        <f>G465+G467+G468+G469</f>
        <v>13744046</v>
      </c>
      <c r="H470" s="215">
        <f>H465+H467+H468+H469</f>
        <v>28593159.399999999</v>
      </c>
      <c r="I470" s="215"/>
      <c r="J470" s="215"/>
      <c r="K470" s="217">
        <f>K465+K467+K468+K469</f>
        <v>4883189000</v>
      </c>
      <c r="L470" s="217">
        <f>L465+L467+L468+L469</f>
        <v>13744046748.700001</v>
      </c>
      <c r="M470" s="217">
        <f>M465+M467+M468+M469</f>
        <v>28593159749.57</v>
      </c>
      <c r="N470" s="336"/>
    </row>
    <row r="471" spans="1:14" s="219" customFormat="1" x14ac:dyDescent="0.2">
      <c r="A471" s="334"/>
      <c r="B471" s="335"/>
      <c r="C471" s="225"/>
      <c r="D471" s="224" t="s">
        <v>124</v>
      </c>
      <c r="E471" s="221"/>
      <c r="F471" s="403">
        <f>F442</f>
        <v>8240</v>
      </c>
      <c r="G471" s="403">
        <f>G442</f>
        <v>8408</v>
      </c>
      <c r="H471" s="403">
        <f>H442</f>
        <v>14526118</v>
      </c>
      <c r="I471" s="160"/>
      <c r="K471" s="217">
        <f>K442</f>
        <v>8240000</v>
      </c>
      <c r="L471" s="217">
        <f>L442</f>
        <v>8408300</v>
      </c>
      <c r="M471" s="217">
        <f>M442</f>
        <v>14526118475.27</v>
      </c>
      <c r="N471" s="336"/>
    </row>
    <row r="472" spans="1:14" s="219" customFormat="1" ht="15" thickBot="1" x14ac:dyDescent="0.25">
      <c r="A472" s="334"/>
      <c r="B472" s="335"/>
      <c r="C472" s="225"/>
      <c r="D472" s="224" t="s">
        <v>125</v>
      </c>
      <c r="F472" s="216">
        <f>F470-F471</f>
        <v>4874949</v>
      </c>
      <c r="G472" s="216">
        <f>G470-G471</f>
        <v>13735638</v>
      </c>
      <c r="H472" s="216">
        <f>H470-H471</f>
        <v>14067041.399999999</v>
      </c>
      <c r="I472" s="160"/>
      <c r="J472" s="216"/>
      <c r="K472" s="226">
        <f>K470-K471</f>
        <v>4874949000</v>
      </c>
      <c r="L472" s="226">
        <f t="shared" ref="L472" si="114">L470-L471</f>
        <v>13735638448.700001</v>
      </c>
      <c r="M472" s="226">
        <f>M470-M471</f>
        <v>14067041274.299999</v>
      </c>
      <c r="N472" s="336"/>
    </row>
    <row r="473" spans="1:14" s="219" customFormat="1" ht="15" thickTop="1" x14ac:dyDescent="0.2">
      <c r="A473" s="334"/>
      <c r="B473" s="335"/>
      <c r="C473" s="225"/>
      <c r="D473" s="220"/>
      <c r="F473" s="215"/>
      <c r="G473" s="222"/>
      <c r="H473" s="215"/>
      <c r="I473" s="215"/>
      <c r="K473" s="218"/>
      <c r="L473" s="218"/>
      <c r="M473" s="218"/>
      <c r="N473" s="336"/>
    </row>
    <row r="474" spans="1:14" s="219" customFormat="1" x14ac:dyDescent="0.2">
      <c r="A474" s="334"/>
      <c r="B474" s="335"/>
      <c r="C474" s="225"/>
      <c r="D474" s="220"/>
      <c r="F474" s="215"/>
      <c r="G474" s="222"/>
      <c r="H474" s="215"/>
      <c r="I474" s="215"/>
      <c r="K474" s="218"/>
      <c r="L474" s="218"/>
      <c r="M474" s="218"/>
      <c r="N474" s="336"/>
    </row>
    <row r="475" spans="1:14" s="219" customFormat="1" x14ac:dyDescent="0.2">
      <c r="A475" s="334"/>
      <c r="B475" s="335"/>
      <c r="C475" s="225"/>
      <c r="D475" s="220"/>
      <c r="F475" s="215"/>
      <c r="G475" s="222"/>
      <c r="H475" s="215"/>
      <c r="I475" s="215"/>
      <c r="K475" s="218"/>
      <c r="L475" s="218"/>
      <c r="M475" s="218"/>
      <c r="N475" s="336"/>
    </row>
    <row r="476" spans="1:14" s="219" customFormat="1" x14ac:dyDescent="0.2">
      <c r="A476" s="334"/>
      <c r="B476" s="335"/>
      <c r="C476" s="225"/>
      <c r="D476" s="224"/>
      <c r="F476" s="215"/>
      <c r="G476" s="222"/>
      <c r="H476" s="215"/>
      <c r="I476" s="215"/>
      <c r="K476" s="218"/>
      <c r="L476" s="218"/>
      <c r="M476" s="218"/>
      <c r="N476" s="336"/>
    </row>
    <row r="477" spans="1:14" s="219" customFormat="1" x14ac:dyDescent="0.2">
      <c r="A477" s="334"/>
      <c r="B477" s="335"/>
      <c r="C477" s="225"/>
      <c r="D477" s="224"/>
      <c r="F477" s="215"/>
      <c r="G477" s="222"/>
      <c r="H477" s="215"/>
      <c r="I477" s="215"/>
      <c r="K477" s="218"/>
      <c r="L477" s="218"/>
      <c r="M477" s="218"/>
      <c r="N477" s="336"/>
    </row>
    <row r="478" spans="1:14" x14ac:dyDescent="0.2">
      <c r="C478" s="243"/>
      <c r="D478" s="223"/>
    </row>
    <row r="479" spans="1:14" x14ac:dyDescent="0.2">
      <c r="C479" s="243"/>
      <c r="D479" s="223"/>
    </row>
    <row r="480" spans="1:14" x14ac:dyDescent="0.2">
      <c r="C480" s="243"/>
      <c r="D480" s="223"/>
    </row>
    <row r="481" spans="3:4" x14ac:dyDescent="0.2">
      <c r="C481" s="243"/>
      <c r="D481" s="223"/>
    </row>
    <row r="482" spans="3:4" x14ac:dyDescent="0.2">
      <c r="C482" s="243"/>
      <c r="D482" s="223"/>
    </row>
    <row r="483" spans="3:4" x14ac:dyDescent="0.2">
      <c r="C483" s="243"/>
      <c r="D483" s="223"/>
    </row>
    <row r="484" spans="3:4" x14ac:dyDescent="0.2">
      <c r="C484" s="243"/>
      <c r="D484" s="223"/>
    </row>
    <row r="485" spans="3:4" x14ac:dyDescent="0.2">
      <c r="C485" s="243"/>
      <c r="D485" s="223"/>
    </row>
    <row r="486" spans="3:4" x14ac:dyDescent="0.2">
      <c r="C486" s="243"/>
      <c r="D486" s="223"/>
    </row>
    <row r="487" spans="3:4" x14ac:dyDescent="0.2">
      <c r="C487" s="243"/>
      <c r="D487" s="223"/>
    </row>
    <row r="488" spans="3:4" x14ac:dyDescent="0.2">
      <c r="C488" s="243"/>
      <c r="D488" s="223"/>
    </row>
    <row r="489" spans="3:4" x14ac:dyDescent="0.2">
      <c r="C489" s="243"/>
      <c r="D489" s="223"/>
    </row>
    <row r="490" spans="3:4" x14ac:dyDescent="0.2">
      <c r="C490" s="243"/>
      <c r="D490" s="223"/>
    </row>
    <row r="491" spans="3:4" x14ac:dyDescent="0.2">
      <c r="C491" s="243"/>
      <c r="D491" s="223"/>
    </row>
    <row r="492" spans="3:4" x14ac:dyDescent="0.2">
      <c r="C492" s="243"/>
      <c r="D492" s="223"/>
    </row>
    <row r="493" spans="3:4" x14ac:dyDescent="0.2">
      <c r="C493" s="243"/>
      <c r="D493" s="223"/>
    </row>
    <row r="494" spans="3:4" x14ac:dyDescent="0.2">
      <c r="C494" s="243"/>
      <c r="D494" s="223"/>
    </row>
    <row r="495" spans="3:4" x14ac:dyDescent="0.2">
      <c r="C495" s="243"/>
      <c r="D495" s="223"/>
    </row>
    <row r="496" spans="3:4" x14ac:dyDescent="0.2">
      <c r="C496" s="243"/>
      <c r="D496" s="223"/>
    </row>
    <row r="497" spans="3:4" x14ac:dyDescent="0.2">
      <c r="C497" s="243"/>
      <c r="D497" s="223"/>
    </row>
    <row r="498" spans="3:4" x14ac:dyDescent="0.2">
      <c r="C498" s="243"/>
      <c r="D498" s="223"/>
    </row>
    <row r="499" spans="3:4" x14ac:dyDescent="0.2">
      <c r="C499" s="243"/>
      <c r="D499" s="223"/>
    </row>
    <row r="500" spans="3:4" x14ac:dyDescent="0.2">
      <c r="C500" s="243"/>
      <c r="D500" s="223"/>
    </row>
    <row r="501" spans="3:4" x14ac:dyDescent="0.2">
      <c r="C501" s="243"/>
      <c r="D501" s="223"/>
    </row>
    <row r="502" spans="3:4" x14ac:dyDescent="0.2">
      <c r="C502" s="243"/>
      <c r="D502" s="223"/>
    </row>
    <row r="503" spans="3:4" x14ac:dyDescent="0.2">
      <c r="C503" s="243"/>
      <c r="D503" s="223"/>
    </row>
    <row r="504" spans="3:4" x14ac:dyDescent="0.2">
      <c r="C504" s="243"/>
      <c r="D504" s="223"/>
    </row>
    <row r="505" spans="3:4" x14ac:dyDescent="0.2">
      <c r="C505" s="243"/>
      <c r="D505" s="223"/>
    </row>
    <row r="506" spans="3:4" x14ac:dyDescent="0.2">
      <c r="C506" s="243"/>
      <c r="D506" s="223"/>
    </row>
    <row r="507" spans="3:4" x14ac:dyDescent="0.2">
      <c r="C507" s="243"/>
      <c r="D507" s="223"/>
    </row>
    <row r="508" spans="3:4" x14ac:dyDescent="0.2">
      <c r="C508" s="243"/>
      <c r="D508" s="223"/>
    </row>
    <row r="509" spans="3:4" x14ac:dyDescent="0.2">
      <c r="C509" s="243"/>
      <c r="D509" s="223"/>
    </row>
    <row r="510" spans="3:4" x14ac:dyDescent="0.2">
      <c r="C510" s="243"/>
      <c r="D510" s="223"/>
    </row>
    <row r="511" spans="3:4" x14ac:dyDescent="0.2">
      <c r="C511" s="243"/>
      <c r="D511" s="223"/>
    </row>
    <row r="512" spans="3:4" x14ac:dyDescent="0.2">
      <c r="C512" s="243"/>
      <c r="D512" s="223"/>
    </row>
    <row r="513" spans="3:4" x14ac:dyDescent="0.2">
      <c r="C513" s="243"/>
      <c r="D513" s="223"/>
    </row>
    <row r="514" spans="3:4" x14ac:dyDescent="0.2">
      <c r="C514" s="243"/>
      <c r="D514" s="223"/>
    </row>
    <row r="515" spans="3:4" x14ac:dyDescent="0.2">
      <c r="C515" s="243"/>
      <c r="D515" s="223"/>
    </row>
    <row r="516" spans="3:4" x14ac:dyDescent="0.2">
      <c r="C516" s="243"/>
      <c r="D516" s="223"/>
    </row>
    <row r="517" spans="3:4" x14ac:dyDescent="0.2">
      <c r="C517" s="243"/>
      <c r="D517" s="223"/>
    </row>
    <row r="518" spans="3:4" x14ac:dyDescent="0.2">
      <c r="C518" s="243"/>
      <c r="D518" s="223"/>
    </row>
    <row r="519" spans="3:4" x14ac:dyDescent="0.2">
      <c r="C519" s="243"/>
      <c r="D519" s="223"/>
    </row>
    <row r="520" spans="3:4" x14ac:dyDescent="0.2">
      <c r="C520" s="243"/>
      <c r="D520" s="223"/>
    </row>
    <row r="521" spans="3:4" x14ac:dyDescent="0.2">
      <c r="C521" s="243"/>
      <c r="D521" s="223"/>
    </row>
    <row r="522" spans="3:4" x14ac:dyDescent="0.2">
      <c r="C522" s="243"/>
      <c r="D522" s="223"/>
    </row>
    <row r="523" spans="3:4" x14ac:dyDescent="0.2">
      <c r="C523" s="243"/>
      <c r="D523" s="223"/>
    </row>
    <row r="524" spans="3:4" x14ac:dyDescent="0.2">
      <c r="C524" s="243"/>
      <c r="D524" s="223"/>
    </row>
    <row r="525" spans="3:4" x14ac:dyDescent="0.2">
      <c r="C525" s="243"/>
      <c r="D525" s="223"/>
    </row>
    <row r="526" spans="3:4" x14ac:dyDescent="0.2">
      <c r="C526" s="243"/>
      <c r="D526" s="223"/>
    </row>
    <row r="527" spans="3:4" x14ac:dyDescent="0.2">
      <c r="C527" s="243"/>
      <c r="D527" s="223"/>
    </row>
    <row r="528" spans="3:4" x14ac:dyDescent="0.2">
      <c r="C528" s="243"/>
      <c r="D528" s="223"/>
    </row>
    <row r="529" spans="3:4" x14ac:dyDescent="0.2">
      <c r="C529" s="243"/>
      <c r="D529" s="223"/>
    </row>
    <row r="530" spans="3:4" x14ac:dyDescent="0.2">
      <c r="C530" s="243"/>
      <c r="D530" s="223"/>
    </row>
    <row r="531" spans="3:4" x14ac:dyDescent="0.2">
      <c r="C531" s="243"/>
      <c r="D531" s="223"/>
    </row>
    <row r="532" spans="3:4" x14ac:dyDescent="0.2">
      <c r="C532" s="243"/>
      <c r="D532" s="223"/>
    </row>
    <row r="533" spans="3:4" x14ac:dyDescent="0.2">
      <c r="C533" s="243"/>
      <c r="D533" s="223"/>
    </row>
    <row r="534" spans="3:4" x14ac:dyDescent="0.2">
      <c r="C534" s="243"/>
      <c r="D534" s="223"/>
    </row>
    <row r="535" spans="3:4" x14ac:dyDescent="0.2">
      <c r="C535" s="243"/>
      <c r="D535" s="223"/>
    </row>
    <row r="536" spans="3:4" x14ac:dyDescent="0.2">
      <c r="C536" s="243"/>
      <c r="D536" s="223"/>
    </row>
    <row r="537" spans="3:4" x14ac:dyDescent="0.2">
      <c r="C537" s="243"/>
      <c r="D537" s="223"/>
    </row>
    <row r="538" spans="3:4" x14ac:dyDescent="0.2">
      <c r="C538" s="243"/>
      <c r="D538" s="223"/>
    </row>
    <row r="539" spans="3:4" x14ac:dyDescent="0.2">
      <c r="C539" s="243"/>
      <c r="D539" s="223"/>
    </row>
    <row r="540" spans="3:4" x14ac:dyDescent="0.2">
      <c r="C540" s="243"/>
      <c r="D540" s="223"/>
    </row>
    <row r="541" spans="3:4" x14ac:dyDescent="0.2">
      <c r="C541" s="243"/>
      <c r="D541" s="223"/>
    </row>
    <row r="542" spans="3:4" x14ac:dyDescent="0.2">
      <c r="C542" s="243"/>
      <c r="D542" s="223"/>
    </row>
    <row r="543" spans="3:4" x14ac:dyDescent="0.2">
      <c r="C543" s="243"/>
      <c r="D543" s="223"/>
    </row>
    <row r="544" spans="3:4" x14ac:dyDescent="0.2">
      <c r="C544" s="243"/>
      <c r="D544" s="223"/>
    </row>
    <row r="545" spans="3:4" x14ac:dyDescent="0.2">
      <c r="C545" s="243"/>
      <c r="D545" s="223"/>
    </row>
    <row r="546" spans="3:4" x14ac:dyDescent="0.2">
      <c r="C546" s="243"/>
      <c r="D546" s="223"/>
    </row>
    <row r="547" spans="3:4" x14ac:dyDescent="0.2">
      <c r="C547" s="243"/>
      <c r="D547" s="223"/>
    </row>
    <row r="548" spans="3:4" x14ac:dyDescent="0.2">
      <c r="C548" s="243"/>
      <c r="D548" s="223"/>
    </row>
    <row r="549" spans="3:4" x14ac:dyDescent="0.2">
      <c r="C549" s="243"/>
      <c r="D549" s="223"/>
    </row>
    <row r="550" spans="3:4" x14ac:dyDescent="0.2">
      <c r="C550" s="243"/>
      <c r="D550" s="223"/>
    </row>
    <row r="551" spans="3:4" x14ac:dyDescent="0.2">
      <c r="C551" s="243"/>
      <c r="D551" s="223"/>
    </row>
    <row r="552" spans="3:4" x14ac:dyDescent="0.2">
      <c r="C552" s="243"/>
      <c r="D552" s="223"/>
    </row>
    <row r="553" spans="3:4" x14ac:dyDescent="0.2">
      <c r="C553" s="243"/>
      <c r="D553" s="223"/>
    </row>
    <row r="554" spans="3:4" x14ac:dyDescent="0.2">
      <c r="C554" s="243"/>
      <c r="D554" s="223"/>
    </row>
    <row r="555" spans="3:4" x14ac:dyDescent="0.2">
      <c r="C555" s="243"/>
      <c r="D555" s="223"/>
    </row>
    <row r="556" spans="3:4" x14ac:dyDescent="0.2">
      <c r="C556" s="243"/>
      <c r="D556" s="223"/>
    </row>
    <row r="557" spans="3:4" x14ac:dyDescent="0.2">
      <c r="C557" s="243"/>
      <c r="D557" s="223"/>
    </row>
    <row r="558" spans="3:4" x14ac:dyDescent="0.2">
      <c r="C558" s="243"/>
      <c r="D558" s="223"/>
    </row>
    <row r="559" spans="3:4" x14ac:dyDescent="0.2">
      <c r="C559" s="243"/>
      <c r="D559" s="223"/>
    </row>
  </sheetData>
  <mergeCells count="51">
    <mergeCell ref="F251:F252"/>
    <mergeCell ref="G251:G252"/>
    <mergeCell ref="H251:H252"/>
    <mergeCell ref="I251:I252"/>
    <mergeCell ref="E251:E252"/>
    <mergeCell ref="A251:A252"/>
    <mergeCell ref="E60:E61"/>
    <mergeCell ref="D60:D61"/>
    <mergeCell ref="D64:D65"/>
    <mergeCell ref="E64:E65"/>
    <mergeCell ref="C251:C252"/>
    <mergeCell ref="A60:A61"/>
    <mergeCell ref="E141:E142"/>
    <mergeCell ref="D141:D142"/>
    <mergeCell ref="A141:A142"/>
    <mergeCell ref="D251:D252"/>
    <mergeCell ref="A133:A134"/>
    <mergeCell ref="D133:D134"/>
    <mergeCell ref="E133:E134"/>
    <mergeCell ref="A64:A65"/>
    <mergeCell ref="A42:A43"/>
    <mergeCell ref="E42:E43"/>
    <mergeCell ref="D42:D43"/>
    <mergeCell ref="D58:D59"/>
    <mergeCell ref="E58:E59"/>
    <mergeCell ref="E55:E56"/>
    <mergeCell ref="D55:D56"/>
    <mergeCell ref="A58:A59"/>
    <mergeCell ref="A55:A56"/>
    <mergeCell ref="B42:B43"/>
    <mergeCell ref="C42:C43"/>
    <mergeCell ref="F55:F56"/>
    <mergeCell ref="G55:G56"/>
    <mergeCell ref="H55:H56"/>
    <mergeCell ref="I55:I56"/>
    <mergeCell ref="F42:F43"/>
    <mergeCell ref="G42:G43"/>
    <mergeCell ref="H42:H43"/>
    <mergeCell ref="I42:I43"/>
    <mergeCell ref="F64:F65"/>
    <mergeCell ref="G64:G65"/>
    <mergeCell ref="H64:H65"/>
    <mergeCell ref="I64:I65"/>
    <mergeCell ref="F58:F59"/>
    <mergeCell ref="G58:G59"/>
    <mergeCell ref="H58:H59"/>
    <mergeCell ref="I58:I59"/>
    <mergeCell ref="F60:F61"/>
    <mergeCell ref="G60:G61"/>
    <mergeCell ref="H60:H61"/>
    <mergeCell ref="I60:I61"/>
  </mergeCells>
  <phoneticPr fontId="15" type="noConversion"/>
  <pageMargins left="0.78740157480314965" right="0.78740157480314965" top="0.94488188976377963" bottom="0.98425196850393704" header="0.51181102362204722" footer="0.51181102362204722"/>
  <pageSetup paperSize="9" scale="61" firstPageNumber="14" orientation="portrait" useFirstPageNumber="1" r:id="rId1"/>
  <headerFooter alignWithMargins="0">
    <oddFooter>&amp;L&amp;"Arial CE,Kurzíva"Zastupitelstvo Olomouckého kraje 25. 6. 2018
5. - Rozpočet Olomouckého kraje 2017 - závěrečný  účet 
Příloha č. 2: Plnění rozpočtu příjmů Olomouckého kraje k 31. 12. 2017&amp;R&amp;"Arial CE,Kurzíva"Strana &amp;P (celkem 478)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"/>
  <sheetViews>
    <sheetView workbookViewId="0">
      <selection activeCell="F12" sqref="F12"/>
    </sheetView>
  </sheetViews>
  <sheetFormatPr defaultRowHeight="12.75" x14ac:dyDescent="0.2"/>
  <sheetData/>
  <phoneticPr fontId="1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Rekap </vt:lpstr>
      <vt:lpstr>Příjmy</vt:lpstr>
      <vt:lpstr>List1</vt:lpstr>
      <vt:lpstr>'Rekap '!Názvy_tisku</vt:lpstr>
      <vt:lpstr>Příjmy!Oblast_tisku</vt:lpstr>
      <vt:lpstr>'Rekap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2018-05-02T07:37:48Z</cp:lastPrinted>
  <dcterms:created xsi:type="dcterms:W3CDTF">2011-03-04T08:33:29Z</dcterms:created>
  <dcterms:modified xsi:type="dcterms:W3CDTF">2018-05-30T11:44:58Z</dcterms:modified>
</cp:coreProperties>
</file>