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7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úvěru'!$B$1:$AS$74</definedName>
  </definedNames>
  <calcPr calcId="162913"/>
</workbook>
</file>

<file path=xl/calcChain.xml><?xml version="1.0" encoding="utf-8"?>
<calcChain xmlns="http://schemas.openxmlformats.org/spreadsheetml/2006/main">
  <c r="AS73" i="6" l="1"/>
  <c r="AR73" i="6"/>
  <c r="G73" i="6"/>
  <c r="F73" i="6"/>
  <c r="AR45" i="6" l="1"/>
  <c r="AR36" i="6"/>
  <c r="AR33" i="6"/>
  <c r="AR21" i="6"/>
  <c r="AR34" i="6"/>
  <c r="AR38" i="6"/>
  <c r="AR52" i="6"/>
  <c r="AR64" i="6"/>
  <c r="AR53" i="6"/>
  <c r="H73" i="6" l="1"/>
  <c r="H72" i="6" l="1"/>
  <c r="G19" i="6" l="1"/>
  <c r="H20" i="6"/>
  <c r="H32" i="6"/>
  <c r="H10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AP73" i="6"/>
  <c r="AQ73" i="6"/>
  <c r="G72" i="6"/>
  <c r="AS72" i="6" s="1"/>
  <c r="AS71" i="6"/>
  <c r="G71" i="6"/>
  <c r="G70" i="6" l="1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53" i="6"/>
  <c r="G52" i="6"/>
  <c r="G51" i="6"/>
  <c r="G43" i="6"/>
  <c r="G44" i="6"/>
  <c r="G45" i="6"/>
  <c r="G46" i="6"/>
  <c r="G47" i="6"/>
  <c r="G48" i="6"/>
  <c r="G49" i="6"/>
  <c r="G50" i="6"/>
  <c r="G42" i="6"/>
  <c r="G40" i="6"/>
  <c r="G31" i="6"/>
  <c r="G32" i="6"/>
  <c r="G33" i="6"/>
  <c r="G34" i="6"/>
  <c r="G35" i="6"/>
  <c r="G36" i="6"/>
  <c r="G37" i="6"/>
  <c r="G38" i="6"/>
  <c r="G39" i="6"/>
  <c r="G30" i="6"/>
  <c r="G29" i="6"/>
  <c r="G28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G21" i="6"/>
  <c r="G22" i="6"/>
  <c r="G23" i="6"/>
  <c r="G24" i="6"/>
  <c r="G25" i="6"/>
  <c r="G26" i="6"/>
  <c r="G27" i="6"/>
  <c r="G5" i="6"/>
  <c r="G4" i="6"/>
  <c r="AS70" i="6" l="1"/>
  <c r="I20" i="6" l="1"/>
  <c r="AR50" i="6" l="1"/>
  <c r="AR59" i="6"/>
  <c r="J10" i="6" l="1"/>
  <c r="J61" i="6" l="1"/>
  <c r="P33" i="6" l="1"/>
  <c r="P32" i="6"/>
  <c r="P8" i="6"/>
  <c r="AR9" i="6" l="1"/>
  <c r="AS69" i="6" l="1"/>
  <c r="AR58" i="6" l="1"/>
  <c r="M61" i="6" l="1"/>
  <c r="N10" i="6" l="1"/>
  <c r="O63" i="6" l="1"/>
  <c r="AR11" i="6" l="1"/>
  <c r="P61" i="6" l="1"/>
  <c r="P44" i="6"/>
  <c r="X41" i="6" l="1"/>
  <c r="X40" i="6"/>
  <c r="AR40" i="6" l="1"/>
  <c r="AR16" i="6"/>
  <c r="AR18" i="6"/>
  <c r="Q52" i="6" l="1"/>
  <c r="Q8" i="6" l="1"/>
  <c r="Q63" i="6" l="1"/>
  <c r="Q33" i="6"/>
  <c r="Q15" i="6" l="1"/>
  <c r="Q10" i="6" l="1"/>
  <c r="Q5" i="6"/>
  <c r="Q44" i="6"/>
  <c r="AR7" i="6" l="1"/>
  <c r="S33" i="6" l="1"/>
  <c r="R44" i="6" l="1"/>
  <c r="R32" i="6" l="1"/>
  <c r="S21" i="6" l="1"/>
  <c r="S45" i="6" l="1"/>
  <c r="S11" i="6" l="1"/>
  <c r="AS68" i="6" l="1"/>
  <c r="S63" i="6" l="1"/>
  <c r="S13" i="6"/>
  <c r="S24" i="6" l="1"/>
  <c r="S32" i="6"/>
  <c r="S44" i="6" l="1"/>
  <c r="S54" i="6"/>
  <c r="S8" i="6" l="1"/>
  <c r="S10" i="6"/>
  <c r="AS67" i="6"/>
  <c r="S52" i="6"/>
  <c r="Y41" i="6" l="1"/>
  <c r="Y40" i="6"/>
  <c r="AR5" i="6" l="1"/>
  <c r="T40" i="6" l="1"/>
  <c r="AE34" i="6" l="1"/>
  <c r="T41" i="6" l="1"/>
  <c r="AS65" i="6" l="1"/>
  <c r="AS66" i="6"/>
  <c r="AR6" i="6" l="1"/>
  <c r="AR10" i="6"/>
  <c r="U21" i="6" l="1"/>
  <c r="U33" i="6" l="1"/>
  <c r="U56" i="6" l="1"/>
  <c r="U32" i="6" l="1"/>
  <c r="U10" i="6" l="1"/>
  <c r="U54" i="6"/>
  <c r="AS64" i="6"/>
  <c r="U13" i="6"/>
  <c r="U63" i="6" l="1"/>
  <c r="AS63" i="6" l="1"/>
  <c r="U5" i="6" l="1"/>
  <c r="U51" i="6"/>
  <c r="V44" i="6" l="1"/>
  <c r="V58" i="6" l="1"/>
  <c r="V11" i="6" l="1"/>
  <c r="V51" i="6" l="1"/>
  <c r="V38" i="6"/>
  <c r="V41" i="6" l="1"/>
  <c r="V25" i="6" l="1"/>
  <c r="V36" i="6"/>
  <c r="V48" i="6" l="1"/>
  <c r="F55" i="6" l="1"/>
  <c r="V52" i="6" l="1"/>
  <c r="V21" i="6"/>
  <c r="V54" i="6"/>
  <c r="V10" i="6"/>
  <c r="W37" i="6" l="1"/>
  <c r="W62" i="6" l="1"/>
  <c r="AS62" i="6"/>
  <c r="W50" i="6" l="1"/>
  <c r="W58" i="6"/>
  <c r="AS61" i="6"/>
  <c r="W32" i="6"/>
  <c r="W13" i="6"/>
  <c r="W8" i="6"/>
  <c r="W5" i="6"/>
  <c r="W47" i="6"/>
  <c r="X43" i="6" l="1"/>
  <c r="AS60" i="6"/>
  <c r="X22" i="6"/>
  <c r="AS59" i="6"/>
  <c r="X58" i="6"/>
  <c r="AS58" i="6"/>
  <c r="AS57" i="6"/>
  <c r="AS56" i="6" l="1"/>
  <c r="Y38" i="6" l="1"/>
  <c r="Y13" i="6"/>
  <c r="Y9" i="6"/>
  <c r="Y10" i="6" l="1"/>
  <c r="Y32" i="6"/>
  <c r="Y52" i="6" l="1"/>
  <c r="AS40" i="6"/>
  <c r="AC40" i="6"/>
  <c r="AA40" i="6"/>
  <c r="Z33" i="6" l="1"/>
  <c r="AS55" i="6" l="1"/>
  <c r="Z38" i="6" l="1"/>
  <c r="AS54" i="6" l="1"/>
  <c r="Z16" i="6"/>
  <c r="AS53" i="6" l="1"/>
  <c r="Z52" i="6"/>
  <c r="AS52" i="6" l="1"/>
  <c r="AS51" i="6"/>
  <c r="AA14" i="6" l="1"/>
  <c r="AA10" i="6" l="1"/>
  <c r="AA5" i="6" l="1"/>
  <c r="AA9" i="6" l="1"/>
  <c r="AA50" i="6" l="1"/>
  <c r="AS50" i="6" s="1"/>
  <c r="AS48" i="6"/>
  <c r="AS49" i="6"/>
  <c r="AA8" i="6" l="1"/>
  <c r="AS47" i="6" l="1"/>
  <c r="AA25" i="6"/>
  <c r="AA16" i="6"/>
  <c r="AA44" i="6" l="1"/>
  <c r="AS46" i="6" l="1"/>
  <c r="AS45" i="6" l="1"/>
  <c r="AB10" i="6" l="1"/>
  <c r="AB9" i="6" l="1"/>
  <c r="AB44" i="6"/>
  <c r="AS44" i="6"/>
  <c r="AC16" i="6" l="1"/>
  <c r="AC11" i="6"/>
  <c r="AS43" i="6" l="1"/>
  <c r="AS42" i="6"/>
  <c r="AC33" i="6" l="1"/>
  <c r="AS39" i="6" l="1"/>
  <c r="AS38" i="6"/>
  <c r="AD30" i="6" l="1"/>
  <c r="AS36" i="6" l="1"/>
  <c r="AS37" i="6"/>
  <c r="AD11" i="6" l="1"/>
  <c r="AD10" i="6"/>
  <c r="AD5" i="6"/>
  <c r="AS35" i="6"/>
  <c r="AS34" i="6" l="1"/>
  <c r="AE31" i="6" l="1"/>
  <c r="AE33" i="6"/>
  <c r="AS33" i="6" s="1"/>
  <c r="AE5" i="6"/>
  <c r="AE25" i="6"/>
  <c r="AE9" i="6"/>
  <c r="AE10" i="6"/>
  <c r="AS26" i="6" l="1"/>
  <c r="AS27" i="6"/>
  <c r="AS28" i="6"/>
  <c r="AS29" i="6"/>
  <c r="AS30" i="6"/>
  <c r="AS31" i="6"/>
  <c r="AS32" i="6"/>
  <c r="AF10" i="6" l="1"/>
  <c r="AF9" i="6" l="1"/>
  <c r="AF5" i="6"/>
  <c r="AF24" i="6"/>
  <c r="AS25" i="6"/>
  <c r="AF23" i="6"/>
  <c r="AF8" i="6"/>
  <c r="AS20" i="6"/>
  <c r="AS21" i="6"/>
  <c r="AS22" i="6"/>
  <c r="AS23" i="6"/>
  <c r="AS24" i="6" l="1"/>
  <c r="AS19" i="6"/>
  <c r="AR4" i="6" l="1"/>
  <c r="AS4" i="6" l="1"/>
  <c r="AH11" i="6"/>
  <c r="AS15" i="6"/>
  <c r="AS16" i="6"/>
  <c r="AS18" i="6"/>
  <c r="AS17" i="6"/>
  <c r="AS13" i="6" l="1"/>
  <c r="AS14" i="6"/>
  <c r="AS12" i="6" l="1"/>
  <c r="AS9" i="6"/>
  <c r="AS7" i="6"/>
  <c r="AJ11" i="6"/>
  <c r="AS11" i="6" l="1"/>
  <c r="AM6" i="6"/>
  <c r="AP6" i="6"/>
  <c r="AP8" i="6"/>
  <c r="AQ6" i="6"/>
  <c r="AQ5" i="6"/>
  <c r="AS6" i="6" l="1"/>
  <c r="AS8" i="6"/>
  <c r="AQ10" i="6"/>
  <c r="AS10" i="6" l="1"/>
  <c r="AS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S74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Q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8" authorId="0" shapeId="0">
      <text>
        <r>
          <rPr>
            <sz val="9"/>
            <color indexed="81"/>
            <rFont val="Tahoma"/>
            <charset val="1"/>
          </rPr>
          <t xml:space="preserve">2 484 Kč z rezervy
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2" authorId="0" shapeId="0">
      <text>
        <r>
          <rPr>
            <b/>
            <sz val="9"/>
            <color indexed="81"/>
            <rFont val="Tahoma"/>
            <charset val="1"/>
          </rPr>
          <t>vykryto z rezervy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 shapeId="0">
      <text>
        <r>
          <rPr>
            <sz val="9"/>
            <color indexed="81"/>
            <rFont val="Tahoma"/>
            <charset val="1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<sst xmlns="http://schemas.openxmlformats.org/spreadsheetml/2006/main" count="227" uniqueCount="157">
  <si>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</si>
  <si>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</si>
  <si>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</si>
  <si>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</si>
  <si>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</si>
  <si>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</si>
  <si>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</si>
  <si>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</si>
  <si>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</si>
  <si>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</si>
  <si>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</si>
  <si>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</si>
  <si>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</si>
  <si>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</si>
  <si>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</si>
  <si>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</si>
  <si>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</si>
  <si>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</si>
  <si>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</si>
  <si>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</si>
  <si>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</si>
  <si>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</si>
  <si>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</si>
  <si>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</si>
  <si>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</si>
  <si>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</si>
  <si>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</si>
  <si>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</si>
  <si>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</si>
  <si>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</si>
  <si>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</si>
  <si>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</si>
  <si>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</si>
  <si>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</si>
  <si>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</si>
  <si>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</si>
  <si>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</si>
  <si>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</si>
  <si>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</si>
  <si>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</si>
  <si>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</si>
  <si>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</si>
  <si>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</si>
  <si>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</si>
  <si>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</si>
  <si>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</si>
  <si>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</si>
  <si>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</si>
  <si>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</si>
  <si>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</si>
  <si>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</si>
  <si>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</si>
  <si>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</si>
  <si>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</si>
  <si>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</si>
  <si>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</si>
  <si>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</si>
  <si>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</si>
  <si>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</si>
  <si>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</si>
  <si>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</si>
  <si>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</si>
  <si>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</si>
  <si>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</si>
  <si>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</si>
  <si>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</si>
  <si>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</si>
  <si>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</si>
  <si>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</si>
  <si>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</si>
  <si>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</si>
  <si>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</si>
  <si>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</si>
  <si>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</si>
  <si>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</si>
  <si>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</si>
  <si>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</si>
  <si>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</si>
  <si>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</si>
  <si>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</si>
  <si>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</si>
  <si>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</si>
  <si>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</si>
  <si>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</si>
  <si>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</si>
  <si>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</si>
  <si>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</si>
  <si>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</si>
  <si>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</si>
  <si>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</si>
  <si>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</si>
  <si>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</si>
  <si>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</si>
  <si>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</si>
  <si>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</si>
  <si>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</si>
  <si>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</si>
  <si>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</si>
  <si>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</si>
  <si>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</si>
  <si>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</si>
  <si>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</si>
  <si>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</si>
  <si>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</si>
  <si>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</si>
  <si>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</si>
  <si>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</si>
  <si>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</si>
  <si>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</si>
  <si>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</si>
  <si>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</si>
  <si>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</si>
  <si>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</si>
  <si>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</si>
  <si>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</si>
  <si>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</si>
  <si>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</si>
  <si>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</si>
  <si>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</si>
  <si>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</si>
  <si>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</si>
  <si>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</si>
  <si>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</si>
  <si>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</si>
  <si>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</si>
  <si>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</si>
  <si>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</si>
  <si>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</si>
  <si>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</si>
  <si>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</si>
  <si>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</si>
  <si>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</si>
  <si>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</si>
  <si>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</si>
  <si>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</si>
  <si>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</si>
  <si>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</si>
  <si>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</si>
  <si>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</si>
  <si>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</si>
  <si>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</si>
  <si>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</si>
  <si>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</si>
  <si>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</si>
  <si>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</si>
  <si>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</si>
  <si>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</si>
  <si>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</si>
  <si>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</si>
  <si>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</si>
  <si>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</si>
  <si>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</si>
  <si>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</si>
  <si>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 xml:space="preserve">36. dílčí čerpání revolvingu KB (03.06.2019)  </t>
  </si>
  <si>
    <t>35. dílčí čerpání revolvingu KB (20.05.2019)  UR/65/57/2019</t>
  </si>
  <si>
    <t>5.1a. Realizace energeticky úsporných opatření - Střední škola gastronomie a služeb, Přerov -
budova tělocvičny - a) zateplení</t>
  </si>
  <si>
    <t>II/447 Strukov - Šternberk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</si>
</sst>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1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6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vertical="center" wrapText="1"/>
    </xf>
    <xf numFmtId="4" fontId="5" fillId="0" borderId="59" xfId="0" applyNumberFormat="1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77"/>
  <sheetViews>
    <sheetView tabSelected="1" topLeftCell="A67" zoomScaleNormal="100" zoomScaleSheetLayoutView="100" workbookViewId="0">
      <selection activeCell="AR12" sqref="AR12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38" width="16.28515625" hidden="1" customWidth="1"/>
    <col min="39" max="39" width="17.140625" hidden="1" customWidth="1"/>
    <col min="40" max="40" width="17.85546875" hidden="1" customWidth="1"/>
    <col min="41" max="41" width="19.42578125" hidden="1" customWidth="1"/>
    <col min="42" max="42" width="17.42578125" hidden="1" customWidth="1"/>
    <col min="43" max="43" width="15.140625" hidden="1" customWidth="1"/>
    <col min="44" max="44" width="17.42578125" customWidth="1"/>
    <col min="45" max="45" width="19.7109375" customWidth="1"/>
    <col min="47" max="47" width="18.85546875" customWidth="1"/>
  </cols>
  <sheetData>
    <row r="1" spans="2:47" ht="19.5" thickBot="1" x14ac:dyDescent="0.35">
      <c r="B1" s="183" t="s">
        <v>38</v>
      </c>
      <c r="C1" s="183"/>
      <c r="D1" s="183"/>
      <c r="E1" s="183"/>
      <c r="F1" s="18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1" t="s">
        <v>30</v>
      </c>
    </row>
    <row r="2" spans="2:47" ht="15.75" customHeight="1" thickTop="1" x14ac:dyDescent="0.25">
      <c r="B2" s="173" t="s">
        <v>5</v>
      </c>
      <c r="C2" s="190" t="s">
        <v>0</v>
      </c>
      <c r="D2" s="179" t="s">
        <v>112</v>
      </c>
      <c r="E2" s="190" t="s">
        <v>1</v>
      </c>
      <c r="F2" s="175" t="s">
        <v>36</v>
      </c>
      <c r="G2" s="177" t="s">
        <v>28</v>
      </c>
      <c r="H2" s="177" t="s">
        <v>153</v>
      </c>
      <c r="I2" s="177" t="s">
        <v>154</v>
      </c>
      <c r="J2" s="177" t="s">
        <v>151</v>
      </c>
      <c r="K2" s="177" t="s">
        <v>150</v>
      </c>
      <c r="L2" s="177" t="s">
        <v>148</v>
      </c>
      <c r="M2" s="177" t="s">
        <v>147</v>
      </c>
      <c r="N2" s="177" t="s">
        <v>146</v>
      </c>
      <c r="O2" s="177" t="s">
        <v>145</v>
      </c>
      <c r="P2" s="177" t="s">
        <v>144</v>
      </c>
      <c r="Q2" s="177" t="s">
        <v>143</v>
      </c>
      <c r="R2" s="177" t="s">
        <v>142</v>
      </c>
      <c r="S2" s="177" t="s">
        <v>141</v>
      </c>
      <c r="T2" s="177" t="s">
        <v>136</v>
      </c>
      <c r="U2" s="177" t="s">
        <v>133</v>
      </c>
      <c r="V2" s="177" t="s">
        <v>140</v>
      </c>
      <c r="W2" s="177" t="s">
        <v>130</v>
      </c>
      <c r="X2" s="177" t="s">
        <v>109</v>
      </c>
      <c r="Y2" s="177" t="s">
        <v>103</v>
      </c>
      <c r="Z2" s="177" t="s">
        <v>102</v>
      </c>
      <c r="AA2" s="177" t="s">
        <v>98</v>
      </c>
      <c r="AB2" s="177" t="s">
        <v>90</v>
      </c>
      <c r="AC2" s="177" t="s">
        <v>85</v>
      </c>
      <c r="AD2" s="177" t="s">
        <v>79</v>
      </c>
      <c r="AE2" s="177" t="s">
        <v>78</v>
      </c>
      <c r="AF2" s="177" t="s">
        <v>71</v>
      </c>
      <c r="AG2" s="177" t="s">
        <v>58</v>
      </c>
      <c r="AH2" s="177" t="s">
        <v>56</v>
      </c>
      <c r="AI2" s="177" t="s">
        <v>55</v>
      </c>
      <c r="AJ2" s="177" t="s">
        <v>47</v>
      </c>
      <c r="AK2" s="177" t="s">
        <v>41</v>
      </c>
      <c r="AL2" s="177" t="s">
        <v>57</v>
      </c>
      <c r="AM2" s="177" t="s">
        <v>42</v>
      </c>
      <c r="AN2" s="177" t="s">
        <v>43</v>
      </c>
      <c r="AO2" s="177" t="s">
        <v>44</v>
      </c>
      <c r="AP2" s="177" t="s">
        <v>45</v>
      </c>
      <c r="AQ2" s="177" t="s">
        <v>46</v>
      </c>
      <c r="AR2" s="177" t="s">
        <v>50</v>
      </c>
      <c r="AS2" s="195" t="s">
        <v>27</v>
      </c>
    </row>
    <row r="3" spans="2:47" ht="48.75" customHeight="1" thickBot="1" x14ac:dyDescent="0.3">
      <c r="B3" s="174"/>
      <c r="C3" s="191"/>
      <c r="D3" s="180"/>
      <c r="E3" s="191"/>
      <c r="F3" s="176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96"/>
    </row>
    <row r="4" spans="2:47" ht="16.5" thickTop="1" x14ac:dyDescent="0.25">
      <c r="B4" s="55">
        <v>50</v>
      </c>
      <c r="C4" s="56">
        <v>100915</v>
      </c>
      <c r="D4" s="106" t="s">
        <v>113</v>
      </c>
      <c r="E4" s="57" t="s">
        <v>31</v>
      </c>
      <c r="F4" s="58">
        <v>100827566.23</v>
      </c>
      <c r="G4" s="58">
        <f>SUM(H4:AQ4)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>
        <v>50732493</v>
      </c>
      <c r="AP4" s="58"/>
      <c r="AQ4" s="58">
        <v>33823000</v>
      </c>
      <c r="AR4" s="58">
        <f>35722939.54+48832553.46</f>
        <v>84555493</v>
      </c>
      <c r="AS4" s="59">
        <f>G4-AR4</f>
        <v>0</v>
      </c>
    </row>
    <row r="5" spans="2:47" ht="15" customHeight="1" x14ac:dyDescent="0.25">
      <c r="B5" s="60">
        <v>52</v>
      </c>
      <c r="C5" s="61">
        <v>101080</v>
      </c>
      <c r="D5" s="107" t="s">
        <v>113</v>
      </c>
      <c r="E5" s="62" t="s">
        <v>29</v>
      </c>
      <c r="F5" s="63">
        <v>43111962.899999999</v>
      </c>
      <c r="G5" s="63">
        <f>SUM(H5:AQ5)</f>
        <v>41780634.299999997</v>
      </c>
      <c r="H5" s="63"/>
      <c r="I5" s="63"/>
      <c r="J5" s="63">
        <v>567489.6</v>
      </c>
      <c r="K5" s="63">
        <v>1702469.7</v>
      </c>
      <c r="L5" s="63">
        <v>7770828.5999999996</v>
      </c>
      <c r="M5" s="63">
        <v>6447632.4000000004</v>
      </c>
      <c r="N5" s="63"/>
      <c r="O5" s="63"/>
      <c r="P5" s="63">
        <v>2502369.9</v>
      </c>
      <c r="Q5" s="63">
        <f>4737.6+1289053.8</f>
        <v>1293791.4000000001</v>
      </c>
      <c r="R5" s="63"/>
      <c r="S5" s="63">
        <v>2913213.6</v>
      </c>
      <c r="T5" s="63">
        <v>4737.6000000000004</v>
      </c>
      <c r="U5" s="63">
        <f>1379180.7</f>
        <v>1379180.7</v>
      </c>
      <c r="V5" s="63">
        <v>4737.6000000000004</v>
      </c>
      <c r="W5" s="63">
        <f>452513.7+1498386.6+4737.6-1800</f>
        <v>1953837.9000000001</v>
      </c>
      <c r="X5" s="63"/>
      <c r="Y5" s="63">
        <v>572472</v>
      </c>
      <c r="Z5" s="63">
        <v>4737.6000000000004</v>
      </c>
      <c r="AA5" s="63">
        <f>4737.6+1599051.6+928194.3</f>
        <v>2531983.5</v>
      </c>
      <c r="AB5" s="63"/>
      <c r="AC5" s="63">
        <v>2691313.2</v>
      </c>
      <c r="AD5" s="63">
        <f>548022.6+827964.9</f>
        <v>1375987.5</v>
      </c>
      <c r="AE5" s="63">
        <f>112455+4737.6</f>
        <v>117192.6</v>
      </c>
      <c r="AF5" s="63">
        <f>4737.6+548435.7</f>
        <v>553173.29999999993</v>
      </c>
      <c r="AG5" s="63">
        <v>3202485.6</v>
      </c>
      <c r="AH5" s="63"/>
      <c r="AI5" s="63"/>
      <c r="AJ5" s="63"/>
      <c r="AK5" s="63"/>
      <c r="AL5" s="63"/>
      <c r="AM5" s="63"/>
      <c r="AN5" s="63"/>
      <c r="AO5" s="63"/>
      <c r="AP5" s="63"/>
      <c r="AQ5" s="63">
        <f>15037000-7315000-431000-3100000</f>
        <v>4191000</v>
      </c>
      <c r="AR5" s="63">
        <f>4552634.85+5719945.5</f>
        <v>10272580.35</v>
      </c>
      <c r="AS5" s="64">
        <f>G5-AR5</f>
        <v>31508053.949999996</v>
      </c>
      <c r="AU5" s="95"/>
    </row>
    <row r="6" spans="2:47" ht="15.75" x14ac:dyDescent="0.25">
      <c r="B6" s="60">
        <v>12</v>
      </c>
      <c r="C6" s="61">
        <v>1600</v>
      </c>
      <c r="D6" s="107" t="s">
        <v>114</v>
      </c>
      <c r="E6" s="62" t="s">
        <v>32</v>
      </c>
      <c r="F6" s="63">
        <v>164072363.22</v>
      </c>
      <c r="G6" s="63">
        <f t="shared" ref="G6:G27" si="0">SUM(H6:AQ6)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>
        <v>11479091.68</v>
      </c>
      <c r="AD6" s="63">
        <v>3572543.77</v>
      </c>
      <c r="AE6" s="63"/>
      <c r="AF6" s="63"/>
      <c r="AG6" s="63">
        <v>483066.76</v>
      </c>
      <c r="AH6" s="63"/>
      <c r="AI6" s="63"/>
      <c r="AJ6" s="63">
        <v>13541731.43</v>
      </c>
      <c r="AK6" s="63"/>
      <c r="AL6" s="63">
        <v>12413444.029999999</v>
      </c>
      <c r="AM6" s="63">
        <f>27436365.11-6090000-3100000</f>
        <v>18246365.109999999</v>
      </c>
      <c r="AN6" s="63">
        <v>15658817.550000001</v>
      </c>
      <c r="AO6" s="63">
        <v>8315262.8799999999</v>
      </c>
      <c r="AP6" s="63">
        <f>3729948.93+6090000</f>
        <v>9819948.9299999997</v>
      </c>
      <c r="AQ6" s="63">
        <f>3100000</f>
        <v>3100000</v>
      </c>
      <c r="AR6" s="63">
        <f>81578636.71+15051635.43</f>
        <v>96630272.139999986</v>
      </c>
      <c r="AS6" s="64">
        <f>G6-AR6</f>
        <v>0</v>
      </c>
    </row>
    <row r="7" spans="2:47" ht="15.75" x14ac:dyDescent="0.25">
      <c r="B7" s="60">
        <v>12</v>
      </c>
      <c r="C7" s="61">
        <v>1600</v>
      </c>
      <c r="D7" s="107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>
        <v>4049994.74</v>
      </c>
      <c r="AD7" s="63">
        <v>4356</v>
      </c>
      <c r="AE7" s="63"/>
      <c r="AF7" s="63"/>
      <c r="AG7" s="63"/>
      <c r="AH7" s="63"/>
      <c r="AI7" s="63"/>
      <c r="AJ7" s="63"/>
      <c r="AK7" s="63">
        <v>3237175.44</v>
      </c>
      <c r="AL7" s="63">
        <v>6991149.0999999996</v>
      </c>
      <c r="AM7" s="63">
        <v>4356</v>
      </c>
      <c r="AN7" s="63">
        <v>3816000.31</v>
      </c>
      <c r="AO7" s="63">
        <v>806397.55</v>
      </c>
      <c r="AP7" s="63">
        <v>217541.61</v>
      </c>
      <c r="AQ7" s="63"/>
      <c r="AR7" s="63">
        <f>19030302.01+96668.74</f>
        <v>19126970.75</v>
      </c>
      <c r="AS7" s="64">
        <f t="shared" ref="AS7:AS14" si="1">G7-AR7</f>
        <v>0</v>
      </c>
    </row>
    <row r="8" spans="2:47" ht="31.5" x14ac:dyDescent="0.25">
      <c r="B8" s="60">
        <v>52</v>
      </c>
      <c r="C8" s="61">
        <v>100768</v>
      </c>
      <c r="D8" s="107" t="s">
        <v>113</v>
      </c>
      <c r="E8" s="62" t="s">
        <v>34</v>
      </c>
      <c r="F8" s="63">
        <v>56075578.880000003</v>
      </c>
      <c r="G8" s="63">
        <f t="shared" si="0"/>
        <v>20826718.179999996</v>
      </c>
      <c r="H8" s="63">
        <v>3258862.03</v>
      </c>
      <c r="I8" s="63"/>
      <c r="J8" s="63">
        <v>289937.09000000003</v>
      </c>
      <c r="K8" s="63"/>
      <c r="L8" s="63">
        <v>76251.210000000006</v>
      </c>
      <c r="M8" s="63"/>
      <c r="N8" s="63"/>
      <c r="O8" s="63"/>
      <c r="P8" s="63">
        <f>507947.98+1656+2484</f>
        <v>512087.98</v>
      </c>
      <c r="Q8" s="63">
        <f>2070+1063610.67</f>
        <v>1065680.67</v>
      </c>
      <c r="R8" s="63"/>
      <c r="S8" s="63">
        <f>1656+966679.23</f>
        <v>968335.23</v>
      </c>
      <c r="T8" s="63"/>
      <c r="U8" s="63">
        <v>1107780.25</v>
      </c>
      <c r="V8" s="63"/>
      <c r="W8" s="63">
        <f>2015046.92+3726</f>
        <v>2018772.92</v>
      </c>
      <c r="X8" s="63"/>
      <c r="Y8" s="63"/>
      <c r="Z8" s="63">
        <v>2194943.2000000002</v>
      </c>
      <c r="AA8" s="63">
        <f>2898+2584201.21</f>
        <v>2587099.21</v>
      </c>
      <c r="AB8" s="63"/>
      <c r="AC8" s="63">
        <v>1717251.88</v>
      </c>
      <c r="AD8" s="63">
        <v>6012</v>
      </c>
      <c r="AE8" s="63">
        <v>1911435.95</v>
      </c>
      <c r="AF8" s="63">
        <f>1822719.58+107218.8-53669.82</f>
        <v>1876268.56</v>
      </c>
      <c r="AG8" s="63"/>
      <c r="AH8" s="63"/>
      <c r="AI8" s="63"/>
      <c r="AJ8" s="63"/>
      <c r="AK8" s="63"/>
      <c r="AL8" s="63"/>
      <c r="AM8" s="63"/>
      <c r="AN8" s="63"/>
      <c r="AO8" s="63"/>
      <c r="AP8" s="63">
        <f>7326000-6090000</f>
        <v>1236000</v>
      </c>
      <c r="AQ8" s="63"/>
      <c r="AR8" s="63">
        <v>11457582.300000001</v>
      </c>
      <c r="AS8" s="64">
        <f t="shared" si="1"/>
        <v>9369135.8799999952</v>
      </c>
    </row>
    <row r="9" spans="2:47" s="113" customFormat="1" ht="22.5" customHeight="1" x14ac:dyDescent="0.25">
      <c r="B9" s="60">
        <v>52</v>
      </c>
      <c r="C9" s="61">
        <v>101011</v>
      </c>
      <c r="D9" s="107" t="s">
        <v>113</v>
      </c>
      <c r="E9" s="62" t="s">
        <v>35</v>
      </c>
      <c r="F9" s="63">
        <v>106577847.90000001</v>
      </c>
      <c r="G9" s="63">
        <f t="shared" si="0"/>
        <v>101540466.23999999</v>
      </c>
      <c r="H9" s="63"/>
      <c r="I9" s="63">
        <v>1470150</v>
      </c>
      <c r="J9" s="63"/>
      <c r="K9" s="63"/>
      <c r="L9" s="63"/>
      <c r="M9" s="63">
        <v>877571.1</v>
      </c>
      <c r="N9" s="63"/>
      <c r="O9" s="63"/>
      <c r="P9" s="63">
        <v>87120</v>
      </c>
      <c r="Q9" s="63"/>
      <c r="R9" s="63"/>
      <c r="S9" s="63">
        <v>2920189.5</v>
      </c>
      <c r="T9" s="63"/>
      <c r="U9" s="63"/>
      <c r="V9" s="63">
        <v>19602</v>
      </c>
      <c r="W9" s="63">
        <v>3430.35</v>
      </c>
      <c r="X9" s="63"/>
      <c r="Y9" s="63">
        <f>64251+3920.4+8253856.25+455873.15</f>
        <v>8777900.8000000007</v>
      </c>
      <c r="Z9" s="63">
        <v>37570.5</v>
      </c>
      <c r="AA9" s="63">
        <f>19057.5+21562.2+277140.63+17480024.21</f>
        <v>17797784.539999999</v>
      </c>
      <c r="AB9" s="63">
        <f>19057.5+2327600.29+14532950.21</f>
        <v>16879608</v>
      </c>
      <c r="AC9" s="63">
        <v>7350.75</v>
      </c>
      <c r="AD9" s="63">
        <v>8820.9</v>
      </c>
      <c r="AE9" s="63">
        <f>19057.5+11037194.45</f>
        <v>11056251.949999999</v>
      </c>
      <c r="AF9" s="63">
        <f>4465625.29-155311.38</f>
        <v>4310313.91</v>
      </c>
      <c r="AG9" s="63"/>
      <c r="AH9" s="63"/>
      <c r="AI9" s="63">
        <v>4410.46</v>
      </c>
      <c r="AJ9" s="63"/>
      <c r="AK9" s="63"/>
      <c r="AL9" s="63">
        <v>11162291.48</v>
      </c>
      <c r="AM9" s="63"/>
      <c r="AN9" s="63"/>
      <c r="AO9" s="63"/>
      <c r="AP9" s="63">
        <v>26120100</v>
      </c>
      <c r="AQ9" s="63"/>
      <c r="AR9" s="63">
        <f>37054247.85+58394383.68+52304.59+3399094.99</f>
        <v>98900031.109999999</v>
      </c>
      <c r="AS9" s="64">
        <f t="shared" si="1"/>
        <v>2640435.1299999952</v>
      </c>
    </row>
    <row r="10" spans="2:47" ht="22.5" customHeight="1" x14ac:dyDescent="0.25">
      <c r="B10" s="60">
        <v>50</v>
      </c>
      <c r="C10" s="61">
        <v>100913</v>
      </c>
      <c r="D10" s="107" t="s">
        <v>113</v>
      </c>
      <c r="E10" s="62" t="s">
        <v>37</v>
      </c>
      <c r="F10" s="63">
        <v>186867763.41</v>
      </c>
      <c r="G10" s="63">
        <f t="shared" si="0"/>
        <v>173319975.32999998</v>
      </c>
      <c r="H10" s="63">
        <f>4408110.89+43560</f>
        <v>4451670.8899999997</v>
      </c>
      <c r="I10" s="63"/>
      <c r="J10" s="63">
        <f>54450+1133744.72</f>
        <v>1188194.72</v>
      </c>
      <c r="K10" s="63"/>
      <c r="L10" s="63">
        <v>43560</v>
      </c>
      <c r="M10" s="63"/>
      <c r="N10" s="63">
        <f>8561899.75+30492</f>
        <v>8592391.75</v>
      </c>
      <c r="O10" s="63"/>
      <c r="P10" s="63"/>
      <c r="Q10" s="63">
        <f>54450+9583.2</f>
        <v>64033.2</v>
      </c>
      <c r="R10" s="63"/>
      <c r="S10" s="63">
        <f>9583.2+76948.74</f>
        <v>86531.94</v>
      </c>
      <c r="T10" s="63"/>
      <c r="U10" s="63">
        <f>9583.2+90495.9+578002.21+3650994.62</f>
        <v>4329075.93</v>
      </c>
      <c r="V10" s="63">
        <f>9583.2+98010+9249431.23</f>
        <v>9357024.4299999997</v>
      </c>
      <c r="W10" s="63"/>
      <c r="X10" s="63"/>
      <c r="Y10" s="63">
        <f>98010+9583.2</f>
        <v>107593.2</v>
      </c>
      <c r="Z10" s="63">
        <v>15743425.52</v>
      </c>
      <c r="AA10" s="63">
        <f>30511556.7+9583.2+98010</f>
        <v>30619149.899999999</v>
      </c>
      <c r="AB10" s="63">
        <f>98010+9583.2</f>
        <v>107593.2</v>
      </c>
      <c r="AC10" s="63">
        <v>24281840.899999999</v>
      </c>
      <c r="AD10" s="63">
        <f>9583.2+114345</f>
        <v>123928.2</v>
      </c>
      <c r="AE10" s="63">
        <f>38136570.76</f>
        <v>38136570.759999998</v>
      </c>
      <c r="AF10" s="63">
        <f>30293637.38+1781978.67+9583.2-3743808.46</f>
        <v>28341390.789999995</v>
      </c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>
        <f>7315000+431000</f>
        <v>7746000</v>
      </c>
      <c r="AR10" s="63">
        <f>74347889.73+70745257.71</f>
        <v>145093147.44</v>
      </c>
      <c r="AS10" s="64">
        <f t="shared" si="1"/>
        <v>28226827.889999986</v>
      </c>
    </row>
    <row r="11" spans="2:47" ht="31.5" x14ac:dyDescent="0.25">
      <c r="B11" s="60">
        <v>52</v>
      </c>
      <c r="C11" s="61">
        <v>100876</v>
      </c>
      <c r="D11" s="107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>
        <f>1329721.2-315947</f>
        <v>1013774.2</v>
      </c>
      <c r="T11" s="63"/>
      <c r="U11" s="63">
        <v>1473884.4</v>
      </c>
      <c r="V11" s="63">
        <f>1734724+7744</f>
        <v>1742468</v>
      </c>
      <c r="W11" s="63">
        <v>7744</v>
      </c>
      <c r="X11" s="63"/>
      <c r="Y11" s="63">
        <v>2289465.2000000002</v>
      </c>
      <c r="Z11" s="63">
        <v>7744</v>
      </c>
      <c r="AA11" s="63">
        <v>7744</v>
      </c>
      <c r="AB11" s="63"/>
      <c r="AC11" s="63">
        <f>7744+2944941.6</f>
        <v>2952685.6</v>
      </c>
      <c r="AD11" s="63">
        <f>1001767.6</f>
        <v>1001767.6</v>
      </c>
      <c r="AE11" s="63">
        <v>7744</v>
      </c>
      <c r="AF11" s="63"/>
      <c r="AG11" s="63">
        <v>7744</v>
      </c>
      <c r="AH11" s="63">
        <f>827852.4+7744</f>
        <v>835596.4</v>
      </c>
      <c r="AI11" s="63"/>
      <c r="AJ11" s="63">
        <f>7744+2359128</f>
        <v>2366872</v>
      </c>
      <c r="AK11" s="63">
        <v>7744</v>
      </c>
      <c r="AL11" s="63"/>
      <c r="AM11" s="63"/>
      <c r="AN11" s="63"/>
      <c r="AO11" s="63"/>
      <c r="AP11" s="63"/>
      <c r="AQ11" s="63"/>
      <c r="AR11" s="63">
        <f>7478737.2+6244240.2</f>
        <v>13722977.4</v>
      </c>
      <c r="AS11" s="64">
        <f t="shared" si="1"/>
        <v>0</v>
      </c>
    </row>
    <row r="12" spans="2:47" ht="78.75" x14ac:dyDescent="0.25">
      <c r="B12" s="65">
        <v>19</v>
      </c>
      <c r="C12" s="66">
        <v>1160</v>
      </c>
      <c r="D12" s="104" t="s">
        <v>115</v>
      </c>
      <c r="E12" s="67" t="s">
        <v>73</v>
      </c>
      <c r="F12" s="68">
        <v>3033505.38</v>
      </c>
      <c r="G12" s="63">
        <f t="shared" si="0"/>
        <v>963699.3</v>
      </c>
      <c r="H12" s="172"/>
      <c r="I12" s="155"/>
      <c r="J12" s="153"/>
      <c r="K12" s="147"/>
      <c r="L12" s="145"/>
      <c r="M12" s="144"/>
      <c r="N12" s="143"/>
      <c r="O12" s="142"/>
      <c r="P12" s="140"/>
      <c r="Q12" s="139"/>
      <c r="R12" s="135"/>
      <c r="S12" s="134"/>
      <c r="T12" s="124"/>
      <c r="U12" s="123"/>
      <c r="V12" s="115"/>
      <c r="W12" s="103"/>
      <c r="X12" s="99"/>
      <c r="Y12" s="68"/>
      <c r="Z12" s="68"/>
      <c r="AA12" s="68"/>
      <c r="AB12" s="68"/>
      <c r="AC12" s="68"/>
      <c r="AD12" s="68"/>
      <c r="AE12" s="68">
        <v>457598.7</v>
      </c>
      <c r="AF12" s="68"/>
      <c r="AG12" s="68"/>
      <c r="AH12" s="68"/>
      <c r="AI12" s="68"/>
      <c r="AJ12" s="68">
        <v>506100.6</v>
      </c>
      <c r="AK12" s="68"/>
      <c r="AL12" s="68"/>
      <c r="AM12" s="68"/>
      <c r="AN12" s="68"/>
      <c r="AO12" s="68"/>
      <c r="AP12" s="68"/>
      <c r="AQ12" s="68"/>
      <c r="AR12" s="68">
        <v>963699.3</v>
      </c>
      <c r="AS12" s="69">
        <f t="shared" si="1"/>
        <v>0</v>
      </c>
    </row>
    <row r="13" spans="2:47" ht="31.5" x14ac:dyDescent="0.25">
      <c r="B13" s="60">
        <v>52</v>
      </c>
      <c r="C13" s="61">
        <v>101131</v>
      </c>
      <c r="D13" s="107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72"/>
      <c r="I13" s="155"/>
      <c r="J13" s="153"/>
      <c r="K13" s="147"/>
      <c r="L13" s="145"/>
      <c r="M13" s="144"/>
      <c r="N13" s="143"/>
      <c r="O13" s="142"/>
      <c r="P13" s="140"/>
      <c r="Q13" s="139"/>
      <c r="R13" s="137"/>
      <c r="S13" s="134">
        <f>28800+1311015.47</f>
        <v>1339815.47</v>
      </c>
      <c r="T13" s="124"/>
      <c r="U13" s="123">
        <f>203530.93+19781.95</f>
        <v>223312.88</v>
      </c>
      <c r="V13" s="115">
        <v>377099.51</v>
      </c>
      <c r="W13" s="103">
        <f>18770+960081.76</f>
        <v>978851.76</v>
      </c>
      <c r="X13" s="99"/>
      <c r="Y13" s="68">
        <f>1818431.56+28800</f>
        <v>1847231.56</v>
      </c>
      <c r="Z13" s="68"/>
      <c r="AA13" s="68">
        <v>1534698.28</v>
      </c>
      <c r="AB13" s="68">
        <v>226408.02</v>
      </c>
      <c r="AC13" s="68"/>
      <c r="AD13" s="68"/>
      <c r="AE13" s="68"/>
      <c r="AF13" s="68"/>
      <c r="AG13" s="68"/>
      <c r="AH13" s="68"/>
      <c r="AI13" s="63">
        <v>11762.53</v>
      </c>
      <c r="AJ13" s="63"/>
      <c r="AK13" s="63"/>
      <c r="AL13" s="63"/>
      <c r="AM13" s="63"/>
      <c r="AN13" s="63"/>
      <c r="AO13" s="63"/>
      <c r="AP13" s="63"/>
      <c r="AQ13" s="63"/>
      <c r="AR13" s="63">
        <v>1638374.03</v>
      </c>
      <c r="AS13" s="69">
        <f t="shared" si="1"/>
        <v>4900805.9799999995</v>
      </c>
    </row>
    <row r="14" spans="2:47" ht="31.5" customHeight="1" x14ac:dyDescent="0.25">
      <c r="B14" s="65">
        <v>52</v>
      </c>
      <c r="C14" s="66">
        <v>101256</v>
      </c>
      <c r="D14" s="107" t="s">
        <v>113</v>
      </c>
      <c r="E14" s="67" t="s">
        <v>49</v>
      </c>
      <c r="F14" s="68">
        <v>655578</v>
      </c>
      <c r="G14" s="63">
        <f t="shared" si="0"/>
        <v>655578</v>
      </c>
      <c r="H14" s="172"/>
      <c r="I14" s="155"/>
      <c r="J14" s="153"/>
      <c r="K14" s="147"/>
      <c r="L14" s="145"/>
      <c r="M14" s="144"/>
      <c r="N14" s="143"/>
      <c r="O14" s="142"/>
      <c r="P14" s="140"/>
      <c r="Q14" s="139"/>
      <c r="R14" s="137"/>
      <c r="S14" s="134"/>
      <c r="T14" s="124"/>
      <c r="U14" s="123"/>
      <c r="V14" s="115"/>
      <c r="W14" s="103"/>
      <c r="X14" s="99"/>
      <c r="Y14" s="68"/>
      <c r="Z14" s="68"/>
      <c r="AA14" s="68">
        <f>1036620.14-382246.14</f>
        <v>654374</v>
      </c>
      <c r="AB14" s="68"/>
      <c r="AC14" s="68"/>
      <c r="AD14" s="68"/>
      <c r="AE14" s="68"/>
      <c r="AF14" s="68"/>
      <c r="AG14" s="68"/>
      <c r="AH14" s="68"/>
      <c r="AI14" s="68">
        <v>1204</v>
      </c>
      <c r="AJ14" s="68"/>
      <c r="AK14" s="68"/>
      <c r="AL14" s="68"/>
      <c r="AM14" s="68"/>
      <c r="AN14" s="68"/>
      <c r="AO14" s="68"/>
      <c r="AP14" s="68"/>
      <c r="AQ14" s="68"/>
      <c r="AR14" s="68"/>
      <c r="AS14" s="69">
        <f t="shared" si="1"/>
        <v>655578</v>
      </c>
    </row>
    <row r="15" spans="2:47" ht="15.75" x14ac:dyDescent="0.25">
      <c r="B15" s="65">
        <v>52</v>
      </c>
      <c r="C15" s="66">
        <v>101019</v>
      </c>
      <c r="D15" s="107" t="s">
        <v>113</v>
      </c>
      <c r="E15" s="67" t="s">
        <v>51</v>
      </c>
      <c r="F15" s="68">
        <v>4174276</v>
      </c>
      <c r="G15" s="63">
        <f t="shared" si="0"/>
        <v>5360000.28</v>
      </c>
      <c r="H15" s="172"/>
      <c r="I15" s="155"/>
      <c r="J15" s="153">
        <v>2042946.74</v>
      </c>
      <c r="K15" s="147">
        <v>12100</v>
      </c>
      <c r="L15" s="145">
        <v>1602054.33</v>
      </c>
      <c r="M15" s="144">
        <v>6050</v>
      </c>
      <c r="N15" s="143"/>
      <c r="O15" s="142"/>
      <c r="P15" s="140">
        <v>9680</v>
      </c>
      <c r="Q15" s="139">
        <f>1635139.21+15730</f>
        <v>1650869.21</v>
      </c>
      <c r="R15" s="137"/>
      <c r="S15" s="134"/>
      <c r="T15" s="124"/>
      <c r="U15" s="123"/>
      <c r="V15" s="115"/>
      <c r="W15" s="103"/>
      <c r="X15" s="99">
        <v>21780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>
        <v>14520</v>
      </c>
      <c r="AI15" s="68"/>
      <c r="AJ15" s="68"/>
      <c r="AK15" s="68"/>
      <c r="AL15" s="68"/>
      <c r="AM15" s="68"/>
      <c r="AN15" s="68"/>
      <c r="AO15" s="68"/>
      <c r="AP15" s="68"/>
      <c r="AQ15" s="68"/>
      <c r="AR15" s="68">
        <v>1185724.28</v>
      </c>
      <c r="AS15" s="69">
        <f>G15-AR15</f>
        <v>4174276</v>
      </c>
      <c r="AU15" s="95"/>
    </row>
    <row r="16" spans="2:47" ht="31.5" x14ac:dyDescent="0.25">
      <c r="B16" s="60">
        <v>52</v>
      </c>
      <c r="C16" s="61">
        <v>101141</v>
      </c>
      <c r="D16" s="107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>
        <v>1281249.6499999999</v>
      </c>
      <c r="X16" s="63"/>
      <c r="Y16" s="63"/>
      <c r="Z16" s="63">
        <f>3840+1728282.44</f>
        <v>1732122.44</v>
      </c>
      <c r="AA16" s="63">
        <f>3840+1685476.96+168136.57</f>
        <v>1857453.53</v>
      </c>
      <c r="AB16" s="63"/>
      <c r="AC16" s="63">
        <f>5760+800650.35</f>
        <v>806410.35</v>
      </c>
      <c r="AD16" s="63">
        <v>17424</v>
      </c>
      <c r="AE16" s="63"/>
      <c r="AF16" s="63"/>
      <c r="AG16" s="63"/>
      <c r="AH16" s="63">
        <v>11616</v>
      </c>
      <c r="AI16" s="63"/>
      <c r="AJ16" s="63"/>
      <c r="AK16" s="63"/>
      <c r="AL16" s="63"/>
      <c r="AM16" s="63"/>
      <c r="AN16" s="63"/>
      <c r="AO16" s="63"/>
      <c r="AP16" s="63"/>
      <c r="AQ16" s="63"/>
      <c r="AR16" s="63">
        <f>2232246.52+2475571.08</f>
        <v>4707817.5999999996</v>
      </c>
      <c r="AS16" s="69">
        <f t="shared" ref="AS16:AS18" si="2">G16-AR16</f>
        <v>998458.37000000011</v>
      </c>
    </row>
    <row r="17" spans="2:45" ht="31.5" x14ac:dyDescent="0.25">
      <c r="B17" s="60">
        <v>52</v>
      </c>
      <c r="C17" s="61">
        <v>101257</v>
      </c>
      <c r="D17" s="107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>
        <v>225034.82</v>
      </c>
      <c r="V17" s="63">
        <v>426146.03</v>
      </c>
      <c r="W17" s="63"/>
      <c r="X17" s="63"/>
      <c r="Y17" s="63"/>
      <c r="Z17" s="63"/>
      <c r="AA17" s="63">
        <v>4625.6000000000004</v>
      </c>
      <c r="AB17" s="63"/>
      <c r="AC17" s="63"/>
      <c r="AD17" s="63"/>
      <c r="AE17" s="63"/>
      <c r="AF17" s="63"/>
      <c r="AG17" s="63"/>
      <c r="AH17" s="63">
        <v>3084.2</v>
      </c>
      <c r="AI17" s="63"/>
      <c r="AJ17" s="63"/>
      <c r="AK17" s="63"/>
      <c r="AL17" s="63"/>
      <c r="AM17" s="63"/>
      <c r="AN17" s="63"/>
      <c r="AO17" s="63"/>
      <c r="AP17" s="63"/>
      <c r="AQ17" s="63"/>
      <c r="AR17" s="63">
        <v>506844.8</v>
      </c>
      <c r="AS17" s="69">
        <f t="shared" si="2"/>
        <v>152045.85000000003</v>
      </c>
    </row>
    <row r="18" spans="2:45" ht="31.5" x14ac:dyDescent="0.25">
      <c r="B18" s="60">
        <v>52</v>
      </c>
      <c r="C18" s="61">
        <v>101088</v>
      </c>
      <c r="D18" s="107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>
        <v>361383.69</v>
      </c>
      <c r="V18" s="63">
        <v>1021703.67</v>
      </c>
      <c r="W18" s="63"/>
      <c r="X18" s="63"/>
      <c r="Y18" s="63">
        <v>471491.5</v>
      </c>
      <c r="Z18" s="63"/>
      <c r="AA18" s="63">
        <v>14780.8</v>
      </c>
      <c r="AB18" s="63"/>
      <c r="AC18" s="63"/>
      <c r="AD18" s="63"/>
      <c r="AE18" s="63"/>
      <c r="AF18" s="63"/>
      <c r="AG18" s="63"/>
      <c r="AH18" s="63">
        <v>9853.6</v>
      </c>
      <c r="AI18" s="63"/>
      <c r="AJ18" s="63"/>
      <c r="AK18" s="63"/>
      <c r="AL18" s="63"/>
      <c r="AM18" s="63"/>
      <c r="AN18" s="63"/>
      <c r="AO18" s="63"/>
      <c r="AP18" s="63"/>
      <c r="AQ18" s="63"/>
      <c r="AR18" s="63">
        <f>1296960.25+237519.36</f>
        <v>1534479.6099999999</v>
      </c>
      <c r="AS18" s="69">
        <f t="shared" si="2"/>
        <v>344733.65000000037</v>
      </c>
    </row>
    <row r="19" spans="2:45" ht="31.5" x14ac:dyDescent="0.25">
      <c r="B19" s="65">
        <v>19</v>
      </c>
      <c r="C19" s="66">
        <v>1128</v>
      </c>
      <c r="D19" s="104" t="s">
        <v>116</v>
      </c>
      <c r="E19" s="67" t="s">
        <v>105</v>
      </c>
      <c r="F19" s="68">
        <v>2367129.3199999998</v>
      </c>
      <c r="G19" s="63">
        <f>SUM(H19:AQ19)</f>
        <v>2229947.0099999998</v>
      </c>
      <c r="H19" s="172"/>
      <c r="I19" s="155"/>
      <c r="J19" s="153"/>
      <c r="K19" s="147"/>
      <c r="L19" s="145"/>
      <c r="M19" s="144"/>
      <c r="N19" s="143"/>
      <c r="O19" s="142"/>
      <c r="P19" s="140"/>
      <c r="Q19" s="139"/>
      <c r="R19" s="137"/>
      <c r="S19" s="134"/>
      <c r="T19" s="124">
        <v>1080287.99</v>
      </c>
      <c r="U19" s="123"/>
      <c r="V19" s="115">
        <v>84257.02</v>
      </c>
      <c r="W19" s="103"/>
      <c r="X19" s="99">
        <v>1045800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>
        <v>19602</v>
      </c>
      <c r="AI19" s="68"/>
      <c r="AJ19" s="68"/>
      <c r="AK19" s="68"/>
      <c r="AL19" s="68"/>
      <c r="AM19" s="68"/>
      <c r="AN19" s="68"/>
      <c r="AO19" s="68"/>
      <c r="AP19" s="68"/>
      <c r="AQ19" s="68"/>
      <c r="AR19" s="68">
        <v>2229947.0099999998</v>
      </c>
      <c r="AS19" s="69">
        <f>G19-AR19</f>
        <v>0</v>
      </c>
    </row>
    <row r="20" spans="2:45" ht="31.5" x14ac:dyDescent="0.25">
      <c r="B20" s="60">
        <v>52</v>
      </c>
      <c r="C20" s="61">
        <v>101022</v>
      </c>
      <c r="D20" s="107" t="s">
        <v>113</v>
      </c>
      <c r="E20" s="62" t="s">
        <v>59</v>
      </c>
      <c r="F20" s="63">
        <v>8717805.1999999993</v>
      </c>
      <c r="G20" s="63">
        <f t="shared" si="0"/>
        <v>6926544.8399999999</v>
      </c>
      <c r="H20" s="172">
        <f>1816850.63+13068</f>
        <v>1829918.63</v>
      </c>
      <c r="I20" s="155">
        <f>13068+4067489.05</f>
        <v>4080557.05</v>
      </c>
      <c r="J20" s="153"/>
      <c r="K20" s="147"/>
      <c r="L20" s="145"/>
      <c r="M20" s="144"/>
      <c r="N20" s="143"/>
      <c r="O20" s="142"/>
      <c r="P20" s="140"/>
      <c r="Q20" s="139"/>
      <c r="R20" s="137"/>
      <c r="S20" s="134">
        <v>990490.73</v>
      </c>
      <c r="T20" s="124"/>
      <c r="U20" s="123"/>
      <c r="V20" s="115"/>
      <c r="W20" s="103"/>
      <c r="X20" s="99"/>
      <c r="Y20" s="68"/>
      <c r="Z20" s="68"/>
      <c r="AA20" s="68"/>
      <c r="AB20" s="68">
        <v>15347.06</v>
      </c>
      <c r="AC20" s="68"/>
      <c r="AD20" s="68"/>
      <c r="AE20" s="68"/>
      <c r="AF20" s="63">
        <v>10231.370000000001</v>
      </c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9">
        <f t="shared" ref="AS20:AS33" si="3">G20-AR20</f>
        <v>6926544.8399999999</v>
      </c>
    </row>
    <row r="21" spans="2:45" ht="31.5" x14ac:dyDescent="0.25">
      <c r="B21" s="65">
        <v>52</v>
      </c>
      <c r="C21" s="66">
        <v>101253</v>
      </c>
      <c r="D21" s="107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67"/>
      <c r="I21" s="155"/>
      <c r="J21" s="153"/>
      <c r="K21" s="147"/>
      <c r="L21" s="145"/>
      <c r="M21" s="144"/>
      <c r="N21" s="143"/>
      <c r="O21" s="142"/>
      <c r="P21" s="140"/>
      <c r="Q21" s="139"/>
      <c r="R21" s="137"/>
      <c r="S21" s="134">
        <f>26784.85+1733358.77</f>
        <v>1760143.62</v>
      </c>
      <c r="T21" s="124"/>
      <c r="U21" s="123">
        <f>26784.85+904220.78</f>
        <v>931005.63</v>
      </c>
      <c r="V21" s="115">
        <f>2005726.49+33481.06</f>
        <v>2039207.55</v>
      </c>
      <c r="W21" s="103">
        <v>47869.05</v>
      </c>
      <c r="X21" s="99"/>
      <c r="Y21" s="68"/>
      <c r="Z21" s="68"/>
      <c r="AA21" s="68"/>
      <c r="AB21" s="68">
        <v>7651.46</v>
      </c>
      <c r="AC21" s="68"/>
      <c r="AD21" s="68"/>
      <c r="AE21" s="68"/>
      <c r="AF21" s="68">
        <v>5100.97</v>
      </c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>
        <f>361806.95+136416.55</f>
        <v>498223.5</v>
      </c>
      <c r="AS21" s="69">
        <f t="shared" si="3"/>
        <v>4292754.7799999993</v>
      </c>
    </row>
    <row r="22" spans="2:45" ht="31.5" x14ac:dyDescent="0.25">
      <c r="B22" s="60">
        <v>19</v>
      </c>
      <c r="C22" s="61">
        <v>1216</v>
      </c>
      <c r="D22" s="11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>
        <v>34135.199999999997</v>
      </c>
      <c r="W22" s="63"/>
      <c r="X22" s="63">
        <f>196510.5+1722767.4</f>
        <v>1919277.9</v>
      </c>
      <c r="Y22" s="63"/>
      <c r="Z22" s="63"/>
      <c r="AA22" s="63"/>
      <c r="AB22" s="63"/>
      <c r="AC22" s="63"/>
      <c r="AD22" s="63"/>
      <c r="AE22" s="63"/>
      <c r="AF22" s="63">
        <v>10890</v>
      </c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>
        <v>1964303.1</v>
      </c>
      <c r="AS22" s="64">
        <f t="shared" si="3"/>
        <v>0</v>
      </c>
    </row>
    <row r="23" spans="2:45" ht="15.75" x14ac:dyDescent="0.25">
      <c r="B23" s="65">
        <v>59</v>
      </c>
      <c r="C23" s="66">
        <v>101135</v>
      </c>
      <c r="D23" s="107" t="s">
        <v>113</v>
      </c>
      <c r="E23" s="67" t="s">
        <v>62</v>
      </c>
      <c r="F23" s="68">
        <v>25154862.300000001</v>
      </c>
      <c r="G23" s="63">
        <f t="shared" si="0"/>
        <v>1835509.5</v>
      </c>
      <c r="H23" s="167"/>
      <c r="I23" s="155"/>
      <c r="J23" s="153"/>
      <c r="K23" s="147">
        <v>93109.5</v>
      </c>
      <c r="L23" s="145"/>
      <c r="M23" s="144"/>
      <c r="N23" s="143"/>
      <c r="O23" s="142"/>
      <c r="P23" s="140"/>
      <c r="Q23" s="139"/>
      <c r="R23" s="137"/>
      <c r="S23" s="134"/>
      <c r="T23" s="124"/>
      <c r="U23" s="123"/>
      <c r="V23" s="115"/>
      <c r="W23" s="103"/>
      <c r="X23" s="99"/>
      <c r="Y23" s="68"/>
      <c r="Z23" s="68"/>
      <c r="AA23" s="68"/>
      <c r="AB23" s="68"/>
      <c r="AC23" s="68"/>
      <c r="AD23" s="68"/>
      <c r="AE23" s="68"/>
      <c r="AF23" s="68">
        <f>96800+1645600</f>
        <v>1742400</v>
      </c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>
        <v>1742400</v>
      </c>
      <c r="AS23" s="69">
        <f t="shared" si="3"/>
        <v>93109.5</v>
      </c>
    </row>
    <row r="24" spans="2:45" ht="15.75" x14ac:dyDescent="0.25">
      <c r="B24" s="60">
        <v>52</v>
      </c>
      <c r="C24" s="61">
        <v>101139</v>
      </c>
      <c r="D24" s="107" t="s">
        <v>113</v>
      </c>
      <c r="E24" s="62" t="s">
        <v>63</v>
      </c>
      <c r="F24" s="63">
        <v>9166485.5999999996</v>
      </c>
      <c r="G24" s="63">
        <f t="shared" si="0"/>
        <v>7997400.7699999996</v>
      </c>
      <c r="H24" s="63"/>
      <c r="I24" s="63">
        <v>655374.74</v>
      </c>
      <c r="J24" s="63"/>
      <c r="K24" s="63"/>
      <c r="L24" s="63">
        <v>473987.58</v>
      </c>
      <c r="M24" s="63">
        <v>1350327.26</v>
      </c>
      <c r="N24" s="63"/>
      <c r="O24" s="63"/>
      <c r="P24" s="63">
        <v>602805.02</v>
      </c>
      <c r="Q24" s="63">
        <v>359915.87</v>
      </c>
      <c r="R24" s="63"/>
      <c r="S24" s="63">
        <f>1084855.23-6343.1</f>
        <v>1078512.1299999999</v>
      </c>
      <c r="T24" s="63"/>
      <c r="U24" s="63">
        <v>910338.45</v>
      </c>
      <c r="V24" s="63">
        <v>293046.09999999998</v>
      </c>
      <c r="W24" s="63"/>
      <c r="X24" s="63"/>
      <c r="Y24" s="63"/>
      <c r="Z24" s="63"/>
      <c r="AA24" s="63"/>
      <c r="AB24" s="63">
        <v>701231.24</v>
      </c>
      <c r="AC24" s="63">
        <v>1091457.3899999999</v>
      </c>
      <c r="AD24" s="63">
        <v>5092.2</v>
      </c>
      <c r="AE24" s="63">
        <v>427798.52</v>
      </c>
      <c r="AF24" s="63">
        <f>44874.59+2639.68</f>
        <v>47514.27</v>
      </c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>
        <v>1753633.07</v>
      </c>
      <c r="AS24" s="64">
        <f t="shared" si="3"/>
        <v>6243767.6999999993</v>
      </c>
    </row>
    <row r="25" spans="2:45" ht="31.5" x14ac:dyDescent="0.25">
      <c r="B25" s="65">
        <v>52</v>
      </c>
      <c r="C25" s="66">
        <v>101152</v>
      </c>
      <c r="D25" s="107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67"/>
      <c r="I25" s="155"/>
      <c r="J25" s="153"/>
      <c r="K25" s="147"/>
      <c r="L25" s="145"/>
      <c r="M25" s="144"/>
      <c r="N25" s="143"/>
      <c r="O25" s="142"/>
      <c r="P25" s="140"/>
      <c r="Q25" s="139">
        <v>4459468.4800000004</v>
      </c>
      <c r="R25" s="137"/>
      <c r="S25" s="134">
        <v>3721675.46</v>
      </c>
      <c r="T25" s="124">
        <v>20691</v>
      </c>
      <c r="U25" s="123">
        <v>3549313.4</v>
      </c>
      <c r="V25" s="115">
        <f>20691+20691</f>
        <v>41382</v>
      </c>
      <c r="W25" s="103">
        <v>1851669.16</v>
      </c>
      <c r="X25" s="99"/>
      <c r="Y25" s="68">
        <v>20691</v>
      </c>
      <c r="Z25" s="68">
        <v>940322.64</v>
      </c>
      <c r="AA25" s="68">
        <f>20691+1446397.62</f>
        <v>1467088.62</v>
      </c>
      <c r="AB25" s="68">
        <v>20691</v>
      </c>
      <c r="AC25" s="68">
        <v>1089444.99</v>
      </c>
      <c r="AD25" s="68">
        <v>4602.6000000000004</v>
      </c>
      <c r="AE25" s="68">
        <f>31581+2740306.31</f>
        <v>2771887.31</v>
      </c>
      <c r="AF25" s="68">
        <v>567591.9</v>
      </c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>
        <v>6882320.0599999996</v>
      </c>
      <c r="AS25" s="69">
        <f t="shared" si="3"/>
        <v>13644199.5</v>
      </c>
    </row>
    <row r="26" spans="2:45" ht="31.5" x14ac:dyDescent="0.25">
      <c r="B26" s="65">
        <v>52</v>
      </c>
      <c r="C26" s="66">
        <v>101251</v>
      </c>
      <c r="D26" s="107" t="s">
        <v>113</v>
      </c>
      <c r="E26" s="67" t="s">
        <v>65</v>
      </c>
      <c r="F26" s="68">
        <v>8148556.5</v>
      </c>
      <c r="G26" s="63">
        <f t="shared" si="0"/>
        <v>15029</v>
      </c>
      <c r="H26" s="167"/>
      <c r="I26" s="155"/>
      <c r="J26" s="153"/>
      <c r="K26" s="147"/>
      <c r="L26" s="145"/>
      <c r="M26" s="144"/>
      <c r="N26" s="143"/>
      <c r="O26" s="142"/>
      <c r="P26" s="140"/>
      <c r="Q26" s="139"/>
      <c r="R26" s="137"/>
      <c r="S26" s="134"/>
      <c r="T26" s="124"/>
      <c r="U26" s="123"/>
      <c r="V26" s="115"/>
      <c r="W26" s="103"/>
      <c r="X26" s="99"/>
      <c r="Y26" s="68">
        <v>8349.6</v>
      </c>
      <c r="Z26" s="68"/>
      <c r="AA26" s="68"/>
      <c r="AB26" s="68"/>
      <c r="AC26" s="68"/>
      <c r="AD26" s="68"/>
      <c r="AE26" s="68"/>
      <c r="AF26" s="68">
        <v>6679.4</v>
      </c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9">
        <f t="shared" si="3"/>
        <v>15029</v>
      </c>
    </row>
    <row r="27" spans="2:45" ht="31.5" x14ac:dyDescent="0.25">
      <c r="B27" s="65">
        <v>52</v>
      </c>
      <c r="C27" s="66">
        <v>101113</v>
      </c>
      <c r="D27" s="107" t="s">
        <v>113</v>
      </c>
      <c r="E27" s="67" t="s">
        <v>66</v>
      </c>
      <c r="F27" s="68">
        <v>7222500.7999999998</v>
      </c>
      <c r="G27" s="63">
        <f t="shared" si="0"/>
        <v>17548</v>
      </c>
      <c r="H27" s="167"/>
      <c r="I27" s="155"/>
      <c r="J27" s="153"/>
      <c r="K27" s="147"/>
      <c r="L27" s="145"/>
      <c r="M27" s="144"/>
      <c r="N27" s="143"/>
      <c r="O27" s="142"/>
      <c r="P27" s="140"/>
      <c r="Q27" s="139"/>
      <c r="R27" s="137"/>
      <c r="S27" s="134"/>
      <c r="T27" s="124"/>
      <c r="U27" s="123"/>
      <c r="V27" s="115"/>
      <c r="W27" s="103"/>
      <c r="X27" s="99"/>
      <c r="Y27" s="68">
        <v>9748.7999999999993</v>
      </c>
      <c r="Z27" s="68"/>
      <c r="AA27" s="68"/>
      <c r="AB27" s="68"/>
      <c r="AC27" s="68"/>
      <c r="AD27" s="68"/>
      <c r="AE27" s="68"/>
      <c r="AF27" s="68">
        <v>7799.2</v>
      </c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9">
        <f t="shared" si="3"/>
        <v>17548</v>
      </c>
    </row>
    <row r="28" spans="2:45" ht="32.25" thickBot="1" x14ac:dyDescent="0.3">
      <c r="B28" s="70">
        <v>52</v>
      </c>
      <c r="C28" s="71">
        <v>101255</v>
      </c>
      <c r="D28" s="108" t="s">
        <v>113</v>
      </c>
      <c r="E28" s="72" t="s">
        <v>67</v>
      </c>
      <c r="F28" s="73">
        <v>8159082.4000000004</v>
      </c>
      <c r="G28" s="73">
        <f>SUM(H28:AQ28)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>
        <v>8502.2000000000007</v>
      </c>
      <c r="Z28" s="73"/>
      <c r="AA28" s="73"/>
      <c r="AB28" s="73"/>
      <c r="AC28" s="73"/>
      <c r="AD28" s="73"/>
      <c r="AE28" s="73"/>
      <c r="AF28" s="73">
        <v>6801.2</v>
      </c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4">
        <f t="shared" si="3"/>
        <v>15303.400000000001</v>
      </c>
    </row>
    <row r="29" spans="2:45" ht="32.25" thickTop="1" x14ac:dyDescent="0.25">
      <c r="B29" s="75">
        <v>52</v>
      </c>
      <c r="C29" s="76">
        <v>101130</v>
      </c>
      <c r="D29" s="109" t="s">
        <v>113</v>
      </c>
      <c r="E29" s="77" t="s">
        <v>68</v>
      </c>
      <c r="F29" s="78">
        <v>9140694.5</v>
      </c>
      <c r="G29" s="80">
        <f>SUM(H29:AQ29)</f>
        <v>41878.240000000005</v>
      </c>
      <c r="H29" s="78"/>
      <c r="I29" s="78">
        <v>20139.240000000002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>
        <v>12077</v>
      </c>
      <c r="Z29" s="78"/>
      <c r="AA29" s="78"/>
      <c r="AB29" s="78"/>
      <c r="AC29" s="78"/>
      <c r="AD29" s="78"/>
      <c r="AE29" s="78"/>
      <c r="AF29" s="78">
        <v>9662</v>
      </c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9">
        <f t="shared" si="3"/>
        <v>41878.240000000005</v>
      </c>
    </row>
    <row r="30" spans="2:45" ht="15.75" x14ac:dyDescent="0.25">
      <c r="B30" s="65">
        <v>12</v>
      </c>
      <c r="C30" s="66">
        <v>1600</v>
      </c>
      <c r="D30" s="107" t="s">
        <v>114</v>
      </c>
      <c r="E30" s="67" t="s">
        <v>69</v>
      </c>
      <c r="F30" s="68">
        <v>148836202.09999999</v>
      </c>
      <c r="G30" s="63">
        <f>SUM(H30:AQ30)</f>
        <v>35403642.129999995</v>
      </c>
      <c r="H30" s="167"/>
      <c r="I30" s="155"/>
      <c r="J30" s="153"/>
      <c r="K30" s="147"/>
      <c r="L30" s="145"/>
      <c r="M30" s="144"/>
      <c r="N30" s="143"/>
      <c r="O30" s="142"/>
      <c r="P30" s="140"/>
      <c r="Q30" s="139"/>
      <c r="R30" s="137"/>
      <c r="S30" s="134"/>
      <c r="T30" s="124"/>
      <c r="U30" s="123"/>
      <c r="V30" s="115"/>
      <c r="W30" s="103"/>
      <c r="X30" s="99"/>
      <c r="Y30" s="68"/>
      <c r="Z30" s="68"/>
      <c r="AA30" s="68"/>
      <c r="AB30" s="68"/>
      <c r="AC30" s="68"/>
      <c r="AD30" s="68">
        <f>44745.3+17404837.93+9855.9</f>
        <v>17459439.129999999</v>
      </c>
      <c r="AE30" s="68"/>
      <c r="AF30" s="68">
        <v>17944203</v>
      </c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>
        <v>35403642.130000003</v>
      </c>
      <c r="AS30" s="69">
        <f t="shared" si="3"/>
        <v>0</v>
      </c>
    </row>
    <row r="31" spans="2:45" ht="31.5" x14ac:dyDescent="0.25">
      <c r="B31" s="65">
        <v>19</v>
      </c>
      <c r="C31" s="66">
        <v>1204</v>
      </c>
      <c r="D31" s="104" t="s">
        <v>118</v>
      </c>
      <c r="E31" s="67" t="s">
        <v>89</v>
      </c>
      <c r="F31" s="68">
        <v>1814555.22</v>
      </c>
      <c r="G31" s="63">
        <f t="shared" ref="G31:G39" si="4">SUM(H31:AQ31)</f>
        <v>1726955.35</v>
      </c>
      <c r="H31" s="167"/>
      <c r="I31" s="155"/>
      <c r="J31" s="153"/>
      <c r="K31" s="147"/>
      <c r="L31" s="145"/>
      <c r="M31" s="144"/>
      <c r="N31" s="143"/>
      <c r="O31" s="142"/>
      <c r="P31" s="140"/>
      <c r="Q31" s="139"/>
      <c r="R31" s="137"/>
      <c r="S31" s="134"/>
      <c r="T31" s="124"/>
      <c r="U31" s="123"/>
      <c r="V31" s="115"/>
      <c r="W31" s="103"/>
      <c r="X31" s="99"/>
      <c r="Y31" s="68"/>
      <c r="Z31" s="68"/>
      <c r="AA31" s="68"/>
      <c r="AB31" s="68">
        <v>4793.2299999999996</v>
      </c>
      <c r="AC31" s="68"/>
      <c r="AD31" s="68"/>
      <c r="AE31" s="68">
        <f>1502273.87</f>
        <v>1502273.87</v>
      </c>
      <c r="AF31" s="68">
        <v>219888.25</v>
      </c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>
        <v>1726955.35</v>
      </c>
      <c r="AS31" s="69">
        <f t="shared" si="3"/>
        <v>0</v>
      </c>
    </row>
    <row r="32" spans="2:45" ht="15.75" x14ac:dyDescent="0.25">
      <c r="B32" s="65">
        <v>50</v>
      </c>
      <c r="C32" s="66">
        <v>100920</v>
      </c>
      <c r="D32" s="107" t="s">
        <v>113</v>
      </c>
      <c r="E32" s="67" t="s">
        <v>70</v>
      </c>
      <c r="F32" s="68">
        <v>80176109.400000006</v>
      </c>
      <c r="G32" s="63">
        <f t="shared" si="4"/>
        <v>62287939.800000004</v>
      </c>
      <c r="H32" s="172">
        <f>3671639.43+39029.76+9583.2</f>
        <v>3720252.39</v>
      </c>
      <c r="I32" s="155"/>
      <c r="J32" s="153">
        <v>1560775.22</v>
      </c>
      <c r="K32" s="147"/>
      <c r="L32" s="145"/>
      <c r="M32" s="144"/>
      <c r="N32" s="143"/>
      <c r="O32" s="142">
        <v>2395.8000000000002</v>
      </c>
      <c r="P32" s="140">
        <f>17075.52+4791.6</f>
        <v>21867.120000000003</v>
      </c>
      <c r="Q32" s="139">
        <v>4413171.76</v>
      </c>
      <c r="R32" s="137">
        <f>9583.2+39029.76</f>
        <v>48612.960000000006</v>
      </c>
      <c r="S32" s="134">
        <f>39029.76+9515077.89+11979+306128.15</f>
        <v>9872214.8000000007</v>
      </c>
      <c r="T32" s="124"/>
      <c r="U32" s="123">
        <f>39029.76+9583.2+5077846.77</f>
        <v>5126459.7299999995</v>
      </c>
      <c r="V32" s="115"/>
      <c r="W32" s="103">
        <f>39029.76+9583.2+27782426.64</f>
        <v>27831039.600000001</v>
      </c>
      <c r="X32" s="99"/>
      <c r="Y32" s="68">
        <f>9531720.82+21954.24+11325.6+39029.76</f>
        <v>9604030.4199999999</v>
      </c>
      <c r="Z32" s="68"/>
      <c r="AA32" s="68"/>
      <c r="AB32" s="68"/>
      <c r="AC32" s="68">
        <v>52272</v>
      </c>
      <c r="AD32" s="68"/>
      <c r="AE32" s="68"/>
      <c r="AF32" s="68">
        <v>34848</v>
      </c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>
        <v>37511649.75</v>
      </c>
      <c r="AS32" s="69">
        <f t="shared" si="3"/>
        <v>24776290.050000004</v>
      </c>
    </row>
    <row r="33" spans="2:47" ht="63" x14ac:dyDescent="0.25">
      <c r="B33" s="65">
        <v>59</v>
      </c>
      <c r="C33" s="66">
        <v>101157</v>
      </c>
      <c r="D33" s="107" t="s">
        <v>113</v>
      </c>
      <c r="E33" s="67" t="s">
        <v>74</v>
      </c>
      <c r="F33" s="68">
        <v>16521356.92</v>
      </c>
      <c r="G33" s="63">
        <f t="shared" si="4"/>
        <v>17330548.359999999</v>
      </c>
      <c r="H33" s="167"/>
      <c r="I33" s="155"/>
      <c r="J33" s="153"/>
      <c r="K33" s="147"/>
      <c r="L33" s="145"/>
      <c r="M33" s="144"/>
      <c r="N33" s="143"/>
      <c r="O33" s="142"/>
      <c r="P33" s="140">
        <f>485694+341319.82+227345.08-24351.12</f>
        <v>1030007.7800000001</v>
      </c>
      <c r="Q33" s="139">
        <f>1131498+616472.01</f>
        <v>1747970.01</v>
      </c>
      <c r="R33" s="137"/>
      <c r="S33" s="134">
        <f>965426.4+25110+3201.66+72407.6+3243331.99+871116.15</f>
        <v>5180593.8000000007</v>
      </c>
      <c r="T33" s="136">
        <v>1076306.6200000001</v>
      </c>
      <c r="U33" s="123">
        <f>3243331.99+871116.15+72407.61</f>
        <v>4186855.75</v>
      </c>
      <c r="V33" s="115"/>
      <c r="W33" s="103">
        <v>2088989.1</v>
      </c>
      <c r="X33" s="99"/>
      <c r="Y33" s="68"/>
      <c r="Z33" s="68">
        <f>245922.85+14466.05+1269112.05+74653.65+19582.6+1151.9</f>
        <v>1624889.0999999999</v>
      </c>
      <c r="AA33" s="68"/>
      <c r="AB33" s="68"/>
      <c r="AC33" s="68">
        <f>256535.95+15090.35</f>
        <v>271626.3</v>
      </c>
      <c r="AD33" s="68"/>
      <c r="AE33" s="68">
        <f>116459.35+6850.55</f>
        <v>123309.90000000001</v>
      </c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>
        <f>1770503.08+2049230.16+70426.37</f>
        <v>3890159.6100000003</v>
      </c>
      <c r="AS33" s="69">
        <f t="shared" si="3"/>
        <v>13440388.75</v>
      </c>
    </row>
    <row r="34" spans="2:47" ht="31.5" x14ac:dyDescent="0.25">
      <c r="B34" s="65">
        <v>19</v>
      </c>
      <c r="C34" s="66">
        <v>1208</v>
      </c>
      <c r="D34" s="104" t="s">
        <v>119</v>
      </c>
      <c r="E34" s="67" t="s">
        <v>72</v>
      </c>
      <c r="F34" s="68">
        <v>2790000</v>
      </c>
      <c r="G34" s="63">
        <f t="shared" si="4"/>
        <v>1797719.73</v>
      </c>
      <c r="H34" s="167"/>
      <c r="I34" s="155"/>
      <c r="J34" s="153"/>
      <c r="K34" s="147"/>
      <c r="L34" s="145"/>
      <c r="M34" s="144"/>
      <c r="N34" s="143"/>
      <c r="O34" s="142"/>
      <c r="P34" s="140"/>
      <c r="Q34" s="139"/>
      <c r="R34" s="137"/>
      <c r="S34" s="134"/>
      <c r="T34" s="124"/>
      <c r="U34" s="123"/>
      <c r="V34" s="115"/>
      <c r="W34" s="103"/>
      <c r="X34" s="99"/>
      <c r="Y34" s="68"/>
      <c r="Z34" s="68"/>
      <c r="AA34" s="68"/>
      <c r="AB34" s="68"/>
      <c r="AC34" s="68">
        <v>1482639.27</v>
      </c>
      <c r="AD34" s="68"/>
      <c r="AE34" s="68">
        <f>364580.96-49500.5</f>
        <v>315080.46000000002</v>
      </c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>
        <f>1725721.8+71997.93</f>
        <v>1797719.73</v>
      </c>
      <c r="AS34" s="69">
        <f>G34-AR34</f>
        <v>0</v>
      </c>
    </row>
    <row r="35" spans="2:47" ht="15.75" x14ac:dyDescent="0.25">
      <c r="B35" s="60">
        <v>12</v>
      </c>
      <c r="C35" s="61">
        <v>1600</v>
      </c>
      <c r="D35" s="107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>
        <v>14033.92</v>
      </c>
      <c r="AD35" s="63">
        <v>1762524.47</v>
      </c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>
        <v>1776558.39</v>
      </c>
      <c r="AS35" s="64">
        <f>G35-AR35</f>
        <v>0</v>
      </c>
    </row>
    <row r="36" spans="2:47" ht="31.5" x14ac:dyDescent="0.25">
      <c r="B36" s="60">
        <v>19</v>
      </c>
      <c r="C36" s="61">
        <v>1106</v>
      </c>
      <c r="D36" s="112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>
        <v>682986.07</v>
      </c>
      <c r="S36" s="63"/>
      <c r="T36" s="63">
        <v>794014.2</v>
      </c>
      <c r="U36" s="63">
        <v>491514.3</v>
      </c>
      <c r="V36" s="63">
        <f>483652.8</f>
        <v>483652.8</v>
      </c>
      <c r="W36" s="63">
        <v>133947</v>
      </c>
      <c r="X36" s="63">
        <v>10890</v>
      </c>
      <c r="Y36" s="63"/>
      <c r="Z36" s="63">
        <v>412731</v>
      </c>
      <c r="AA36" s="63">
        <v>387200.7</v>
      </c>
      <c r="AB36" s="63"/>
      <c r="AC36" s="63"/>
      <c r="AD36" s="63">
        <v>10890</v>
      </c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>
        <f>3333892.44+73933.63</f>
        <v>3407826.07</v>
      </c>
      <c r="AS36" s="64">
        <f t="shared" ref="AS36:AS46" si="5">G36-AR36</f>
        <v>0</v>
      </c>
    </row>
    <row r="37" spans="2:47" ht="47.25" x14ac:dyDescent="0.25">
      <c r="B37" s="65">
        <v>19</v>
      </c>
      <c r="C37" s="66">
        <v>1205</v>
      </c>
      <c r="D37" s="104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67"/>
      <c r="I37" s="155"/>
      <c r="J37" s="153"/>
      <c r="K37" s="147"/>
      <c r="L37" s="145"/>
      <c r="M37" s="144"/>
      <c r="N37" s="143"/>
      <c r="O37" s="142"/>
      <c r="P37" s="140"/>
      <c r="Q37" s="139"/>
      <c r="R37" s="137">
        <v>49549.5</v>
      </c>
      <c r="S37" s="134"/>
      <c r="T37" s="124">
        <v>43549.2</v>
      </c>
      <c r="U37" s="123">
        <v>69794.100000000006</v>
      </c>
      <c r="V37" s="115"/>
      <c r="W37" s="103">
        <f>194441.4+1486485</f>
        <v>1680926.4</v>
      </c>
      <c r="X37" s="99">
        <v>114300</v>
      </c>
      <c r="Y37" s="68"/>
      <c r="Z37" s="68">
        <v>27225</v>
      </c>
      <c r="AA37" s="68"/>
      <c r="AB37" s="68"/>
      <c r="AC37" s="68"/>
      <c r="AD37" s="68">
        <v>411609.59999999998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9">
        <f t="shared" si="5"/>
        <v>2396953.7999999998</v>
      </c>
    </row>
    <row r="38" spans="2:47" ht="31.5" x14ac:dyDescent="0.25">
      <c r="B38" s="65">
        <v>59</v>
      </c>
      <c r="C38" s="66">
        <v>101156</v>
      </c>
      <c r="D38" s="107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67"/>
      <c r="I38" s="155"/>
      <c r="J38" s="153"/>
      <c r="K38" s="147"/>
      <c r="L38" s="145"/>
      <c r="M38" s="144"/>
      <c r="N38" s="143"/>
      <c r="O38" s="142"/>
      <c r="P38" s="140"/>
      <c r="Q38" s="139">
        <v>19071.66</v>
      </c>
      <c r="R38" s="137">
        <v>3967247.7</v>
      </c>
      <c r="S38" s="134"/>
      <c r="T38" s="124">
        <v>1467177.03</v>
      </c>
      <c r="U38" s="123">
        <v>1753330.04</v>
      </c>
      <c r="V38" s="115">
        <f>62204.4+22500+1542820.07+407873.7</f>
        <v>2035398.17</v>
      </c>
      <c r="W38" s="103">
        <v>20364.3</v>
      </c>
      <c r="X38" s="99"/>
      <c r="Y38" s="68">
        <f>112679.2+1915546.4+4385+74545</f>
        <v>2107155.5999999996</v>
      </c>
      <c r="Z38" s="68">
        <f>1197.9+20364.3</f>
        <v>21562.2</v>
      </c>
      <c r="AA38" s="68"/>
      <c r="AB38" s="68">
        <v>283959</v>
      </c>
      <c r="AC38" s="68">
        <v>383205.6</v>
      </c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>
        <f>2574752.58+9109869.51+373849.21</f>
        <v>12058471.300000001</v>
      </c>
      <c r="AS38" s="69">
        <f t="shared" si="5"/>
        <v>0</v>
      </c>
      <c r="AU38" s="114"/>
    </row>
    <row r="39" spans="2:47" ht="47.25" x14ac:dyDescent="0.25">
      <c r="B39" s="65">
        <v>19</v>
      </c>
      <c r="C39" s="66">
        <v>1142</v>
      </c>
      <c r="D39" s="104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67"/>
      <c r="I39" s="155"/>
      <c r="J39" s="153"/>
      <c r="K39" s="147"/>
      <c r="L39" s="145"/>
      <c r="M39" s="144"/>
      <c r="N39" s="143"/>
      <c r="O39" s="142"/>
      <c r="P39" s="140"/>
      <c r="Q39" s="139"/>
      <c r="R39" s="137"/>
      <c r="S39" s="134"/>
      <c r="T39" s="124">
        <v>3424460.4</v>
      </c>
      <c r="U39" s="123"/>
      <c r="V39" s="115"/>
      <c r="W39" s="103"/>
      <c r="X39" s="99">
        <v>432432.9</v>
      </c>
      <c r="Y39" s="68"/>
      <c r="Z39" s="68"/>
      <c r="AA39" s="68"/>
      <c r="AB39" s="68"/>
      <c r="AC39" s="68">
        <v>371658.6</v>
      </c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9">
        <f t="shared" si="5"/>
        <v>4228551.8999999994</v>
      </c>
    </row>
    <row r="40" spans="2:47" ht="24.95" customHeight="1" x14ac:dyDescent="0.25">
      <c r="B40" s="186">
        <v>52</v>
      </c>
      <c r="C40" s="66">
        <v>101050</v>
      </c>
      <c r="D40" s="197" t="s">
        <v>113</v>
      </c>
      <c r="E40" s="184" t="s">
        <v>82</v>
      </c>
      <c r="F40" s="188">
        <v>6250335.1500000004</v>
      </c>
      <c r="G40" s="188">
        <f>SUM(H41:AQ41)+SUM(H40:AQ40)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>
        <f>380530.4+2976+8228</f>
        <v>391734.4</v>
      </c>
      <c r="U40" s="63">
        <v>525921.6</v>
      </c>
      <c r="V40" s="63">
        <v>93748.4</v>
      </c>
      <c r="W40" s="63">
        <v>2980</v>
      </c>
      <c r="X40" s="63">
        <f>15488-4719</f>
        <v>10769</v>
      </c>
      <c r="Y40" s="68">
        <f>3280+1017982.4+444381.6-444381.6</f>
        <v>1021262.4</v>
      </c>
      <c r="Z40" s="68"/>
      <c r="AA40" s="68">
        <f>1235620+7200</f>
        <v>1242820</v>
      </c>
      <c r="AB40" s="68"/>
      <c r="AC40" s="68">
        <f>544272.4+7200</f>
        <v>551472.4</v>
      </c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188">
        <f>1870814.4+4275254.8</f>
        <v>6146069.1999999993</v>
      </c>
      <c r="AS40" s="192">
        <f>G40-AR40-AR41</f>
        <v>0</v>
      </c>
      <c r="AU40" s="95"/>
    </row>
    <row r="41" spans="2:47" ht="24.95" customHeight="1" x14ac:dyDescent="0.25">
      <c r="B41" s="187"/>
      <c r="C41" s="94">
        <v>100700</v>
      </c>
      <c r="D41" s="198"/>
      <c r="E41" s="185"/>
      <c r="F41" s="189"/>
      <c r="G41" s="189"/>
      <c r="H41" s="138"/>
      <c r="I41" s="138"/>
      <c r="J41" s="138"/>
      <c r="K41" s="146"/>
      <c r="L41" s="146"/>
      <c r="M41" s="138"/>
      <c r="N41" s="138"/>
      <c r="O41" s="138"/>
      <c r="P41" s="138"/>
      <c r="Q41" s="138"/>
      <c r="R41" s="138"/>
      <c r="S41" s="63"/>
      <c r="T41" s="63">
        <f>670314.8+5176+8228</f>
        <v>683718.8</v>
      </c>
      <c r="U41" s="63">
        <v>967986.8</v>
      </c>
      <c r="V41" s="63">
        <f>187044.8+6160</f>
        <v>193204.8</v>
      </c>
      <c r="W41" s="103">
        <v>2480</v>
      </c>
      <c r="X41" s="99">
        <f>6050+4719</f>
        <v>10769</v>
      </c>
      <c r="Y41" s="93">
        <f>2820+444381.6</f>
        <v>447201.6</v>
      </c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194"/>
      <c r="AS41" s="193"/>
    </row>
    <row r="42" spans="2:47" ht="31.5" x14ac:dyDescent="0.25">
      <c r="B42" s="65">
        <v>19</v>
      </c>
      <c r="C42" s="66">
        <v>1136</v>
      </c>
      <c r="D42" s="104" t="s">
        <v>123</v>
      </c>
      <c r="E42" s="67" t="s">
        <v>83</v>
      </c>
      <c r="F42" s="68">
        <v>3135292.13</v>
      </c>
      <c r="G42" s="63">
        <f>SUM(H42:AQ42)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137"/>
      <c r="S42" s="134"/>
      <c r="T42" s="124"/>
      <c r="U42" s="123"/>
      <c r="V42" s="115">
        <v>2123550</v>
      </c>
      <c r="W42" s="103"/>
      <c r="X42" s="99">
        <v>485370</v>
      </c>
      <c r="Y42" s="68"/>
      <c r="Z42" s="68"/>
      <c r="AA42" s="68"/>
      <c r="AB42" s="68">
        <v>10890</v>
      </c>
      <c r="AC42" s="68">
        <v>62189.279999999999</v>
      </c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9">
        <f t="shared" si="5"/>
        <v>2681999.2799999998</v>
      </c>
    </row>
    <row r="43" spans="2:47" ht="31.5" x14ac:dyDescent="0.25">
      <c r="B43" s="65">
        <v>19</v>
      </c>
      <c r="C43" s="66">
        <v>1108</v>
      </c>
      <c r="D43" s="104" t="s">
        <v>124</v>
      </c>
      <c r="E43" s="67" t="s">
        <v>84</v>
      </c>
      <c r="F43" s="68">
        <v>4005925.58</v>
      </c>
      <c r="G43" s="63">
        <f t="shared" ref="G43:G50" si="6">SUM(H43:AQ43)</f>
        <v>3045540.66</v>
      </c>
      <c r="H43" s="167"/>
      <c r="I43" s="155"/>
      <c r="J43" s="153"/>
      <c r="K43" s="147"/>
      <c r="L43" s="145"/>
      <c r="M43" s="144"/>
      <c r="N43" s="143"/>
      <c r="O43" s="142"/>
      <c r="P43" s="140"/>
      <c r="Q43" s="139"/>
      <c r="R43" s="137"/>
      <c r="S43" s="134">
        <v>818658.81</v>
      </c>
      <c r="T43" s="124">
        <v>173035.57</v>
      </c>
      <c r="U43" s="123">
        <v>255302.91</v>
      </c>
      <c r="V43" s="115">
        <v>69804.899999999994</v>
      </c>
      <c r="W43" s="103">
        <v>1050090.3</v>
      </c>
      <c r="X43" s="99">
        <f>569533.01+10890</f>
        <v>580423.01</v>
      </c>
      <c r="Y43" s="68"/>
      <c r="Z43" s="68"/>
      <c r="AA43" s="68">
        <v>87335.16</v>
      </c>
      <c r="AB43" s="68"/>
      <c r="AC43" s="68">
        <v>10890</v>
      </c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>
        <v>3045540.66</v>
      </c>
      <c r="AS43" s="69">
        <f t="shared" si="5"/>
        <v>0</v>
      </c>
    </row>
    <row r="44" spans="2:47" ht="31.5" x14ac:dyDescent="0.25">
      <c r="B44" s="65">
        <v>59</v>
      </c>
      <c r="C44" s="66">
        <v>101154</v>
      </c>
      <c r="D44" s="107" t="s">
        <v>113</v>
      </c>
      <c r="E44" s="67" t="s">
        <v>86</v>
      </c>
      <c r="F44" s="68">
        <v>10434308.4</v>
      </c>
      <c r="G44" s="63">
        <f t="shared" si="6"/>
        <v>7024123.5</v>
      </c>
      <c r="H44" s="167"/>
      <c r="I44" s="155"/>
      <c r="J44" s="153"/>
      <c r="K44" s="147"/>
      <c r="L44" s="145"/>
      <c r="M44" s="144"/>
      <c r="N44" s="143"/>
      <c r="O44" s="142"/>
      <c r="P44" s="141">
        <f>15246+3615371.1+352969.2+873337.57+22185.9+27116.1+3822.3+120922.2</f>
        <v>5030970.37</v>
      </c>
      <c r="Q44" s="139">
        <f>265924.8+12109.5</f>
        <v>278034.3</v>
      </c>
      <c r="R44" s="137">
        <f>371186.1+148104</f>
        <v>519290.1</v>
      </c>
      <c r="S44" s="134">
        <f>126147.6-871.2</f>
        <v>125276.40000000001</v>
      </c>
      <c r="T44" s="124"/>
      <c r="U44" s="123"/>
      <c r="V44" s="115">
        <f>669724.11+399085.82</f>
        <v>1068809.93</v>
      </c>
      <c r="W44" s="103"/>
      <c r="X44" s="99"/>
      <c r="Y44" s="68"/>
      <c r="Z44" s="68"/>
      <c r="AA44" s="68">
        <f>822.8+48.4</f>
        <v>871.19999999999993</v>
      </c>
      <c r="AB44" s="68">
        <f>822.8+48.4</f>
        <v>871.19999999999993</v>
      </c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>
        <v>7024123.5</v>
      </c>
      <c r="AS44" s="69">
        <f t="shared" si="5"/>
        <v>0</v>
      </c>
    </row>
    <row r="45" spans="2:47" ht="31.5" x14ac:dyDescent="0.25">
      <c r="B45" s="65">
        <v>19</v>
      </c>
      <c r="C45" s="66">
        <v>1112</v>
      </c>
      <c r="D45" s="104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67"/>
      <c r="I45" s="155"/>
      <c r="J45" s="153"/>
      <c r="K45" s="147"/>
      <c r="L45" s="145"/>
      <c r="M45" s="144"/>
      <c r="N45" s="143"/>
      <c r="O45" s="142"/>
      <c r="P45" s="140"/>
      <c r="Q45" s="139"/>
      <c r="R45" s="137"/>
      <c r="S45" s="134">
        <f>289965.6-4356</f>
        <v>285609.59999999998</v>
      </c>
      <c r="T45" s="124">
        <v>20745.45</v>
      </c>
      <c r="U45" s="123">
        <v>438104.7</v>
      </c>
      <c r="V45" s="115"/>
      <c r="W45" s="103"/>
      <c r="X45" s="99">
        <v>635540.4</v>
      </c>
      <c r="Y45" s="68"/>
      <c r="Z45" s="68">
        <v>686693.7</v>
      </c>
      <c r="AA45" s="68"/>
      <c r="AB45" s="68">
        <v>21780</v>
      </c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>
        <f>2030103.45+58370.4</f>
        <v>2088473.8499999999</v>
      </c>
      <c r="AS45" s="69">
        <f t="shared" si="5"/>
        <v>0</v>
      </c>
    </row>
    <row r="46" spans="2:47" ht="31.5" x14ac:dyDescent="0.25">
      <c r="B46" s="65">
        <v>19</v>
      </c>
      <c r="C46" s="66">
        <v>1208</v>
      </c>
      <c r="D46" s="104" t="s">
        <v>119</v>
      </c>
      <c r="E46" s="67" t="s">
        <v>88</v>
      </c>
      <c r="F46" s="68">
        <v>2784542.4</v>
      </c>
      <c r="G46" s="63">
        <f t="shared" si="6"/>
        <v>2695117.1</v>
      </c>
      <c r="H46" s="167"/>
      <c r="I46" s="155"/>
      <c r="J46" s="153"/>
      <c r="K46" s="147"/>
      <c r="L46" s="145"/>
      <c r="M46" s="144"/>
      <c r="N46" s="143"/>
      <c r="O46" s="142"/>
      <c r="P46" s="140"/>
      <c r="Q46" s="139"/>
      <c r="R46" s="137"/>
      <c r="S46" s="134"/>
      <c r="T46" s="124"/>
      <c r="U46" s="123"/>
      <c r="V46" s="115"/>
      <c r="W46" s="103"/>
      <c r="X46" s="99"/>
      <c r="Y46" s="68"/>
      <c r="Z46" s="68"/>
      <c r="AA46" s="68">
        <v>1007216.1</v>
      </c>
      <c r="AB46" s="68">
        <v>1638400.5</v>
      </c>
      <c r="AC46" s="68"/>
      <c r="AD46" s="68"/>
      <c r="AE46" s="68">
        <v>49500.5</v>
      </c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>
        <v>2695117.1</v>
      </c>
      <c r="AS46" s="69">
        <f t="shared" si="5"/>
        <v>0</v>
      </c>
    </row>
    <row r="47" spans="2:47" ht="31.5" x14ac:dyDescent="0.25">
      <c r="B47" s="65">
        <v>52</v>
      </c>
      <c r="C47" s="66">
        <v>101144</v>
      </c>
      <c r="D47" s="107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67"/>
      <c r="I47" s="155"/>
      <c r="J47" s="153"/>
      <c r="K47" s="147"/>
      <c r="L47" s="145"/>
      <c r="M47" s="144"/>
      <c r="N47" s="143"/>
      <c r="O47" s="142"/>
      <c r="P47" s="140"/>
      <c r="Q47" s="139">
        <v>1266686.74</v>
      </c>
      <c r="R47" s="137"/>
      <c r="S47" s="134"/>
      <c r="T47" s="124">
        <v>4601678.4000000004</v>
      </c>
      <c r="U47" s="123"/>
      <c r="V47" s="115">
        <v>35338.5</v>
      </c>
      <c r="W47" s="103">
        <f>1256303.94+73900.23</f>
        <v>1330204.17</v>
      </c>
      <c r="X47" s="99"/>
      <c r="Y47" s="68"/>
      <c r="Z47" s="68">
        <v>290705.71999999997</v>
      </c>
      <c r="AA47" s="68">
        <v>217003.5</v>
      </c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>
        <v>7741617.0300000003</v>
      </c>
      <c r="AS47" s="69">
        <f t="shared" ref="AS47:AS55" si="7">G47-AR47</f>
        <v>0</v>
      </c>
    </row>
    <row r="48" spans="2:47" ht="47.25" x14ac:dyDescent="0.25">
      <c r="B48" s="65">
        <v>19</v>
      </c>
      <c r="C48" s="66">
        <v>1133</v>
      </c>
      <c r="D48" s="104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67"/>
      <c r="I48" s="155"/>
      <c r="J48" s="153"/>
      <c r="K48" s="147"/>
      <c r="L48" s="145"/>
      <c r="M48" s="144"/>
      <c r="N48" s="143"/>
      <c r="O48" s="142"/>
      <c r="P48" s="140"/>
      <c r="Q48" s="139"/>
      <c r="R48" s="137"/>
      <c r="S48" s="134">
        <v>25895.32</v>
      </c>
      <c r="T48" s="124"/>
      <c r="U48" s="123"/>
      <c r="V48" s="115">
        <f>506123.95+428085.9</f>
        <v>934209.85000000009</v>
      </c>
      <c r="W48" s="103"/>
      <c r="X48" s="99"/>
      <c r="Y48" s="68"/>
      <c r="Z48" s="68"/>
      <c r="AA48" s="68">
        <v>930922.2</v>
      </c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>
        <v>1891027.37</v>
      </c>
      <c r="AS48" s="69">
        <f t="shared" si="7"/>
        <v>0</v>
      </c>
    </row>
    <row r="49" spans="2:47" ht="31.5" x14ac:dyDescent="0.25">
      <c r="B49" s="90">
        <v>19</v>
      </c>
      <c r="C49" s="66">
        <v>1700</v>
      </c>
      <c r="D49" s="110" t="s">
        <v>127</v>
      </c>
      <c r="E49" s="67" t="s">
        <v>93</v>
      </c>
      <c r="F49" s="91">
        <v>4497134.4000000004</v>
      </c>
      <c r="G49" s="63">
        <f t="shared" si="6"/>
        <v>2060475.1</v>
      </c>
      <c r="H49" s="167"/>
      <c r="I49" s="155"/>
      <c r="J49" s="153"/>
      <c r="K49" s="147"/>
      <c r="L49" s="145"/>
      <c r="M49" s="144"/>
      <c r="N49" s="143"/>
      <c r="O49" s="142"/>
      <c r="P49" s="140"/>
      <c r="Q49" s="139">
        <v>1574296.54</v>
      </c>
      <c r="R49" s="137"/>
      <c r="S49" s="134"/>
      <c r="T49" s="124"/>
      <c r="U49" s="123"/>
      <c r="V49" s="115"/>
      <c r="W49" s="103"/>
      <c r="X49" s="99"/>
      <c r="Y49" s="91"/>
      <c r="Z49" s="91"/>
      <c r="AA49" s="91">
        <v>486178.56</v>
      </c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2">
        <f t="shared" si="7"/>
        <v>2060475.1</v>
      </c>
    </row>
    <row r="50" spans="2:47" ht="15.75" x14ac:dyDescent="0.25">
      <c r="B50" s="60">
        <v>59</v>
      </c>
      <c r="C50" s="61">
        <v>101160</v>
      </c>
      <c r="D50" s="107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>
        <v>203564.54</v>
      </c>
      <c r="U50" s="63">
        <v>576872.26</v>
      </c>
      <c r="V50" s="63">
        <v>285214.5</v>
      </c>
      <c r="W50" s="63">
        <f>315810+181982.7+197087.4+1437480+696905.55+4170559.5+380061+266805+2989305+209632.5+976500+364815+306009</f>
        <v>12492952.65</v>
      </c>
      <c r="X50" s="63"/>
      <c r="Y50" s="63"/>
      <c r="Z50" s="63"/>
      <c r="AA50" s="63">
        <f>90145+1532465+174240+2962080</f>
        <v>4758930</v>
      </c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>
        <f>17251882.65+1065651.3</f>
        <v>18317533.949999999</v>
      </c>
      <c r="AS50" s="64">
        <f t="shared" si="7"/>
        <v>0</v>
      </c>
    </row>
    <row r="51" spans="2:47" ht="32.25" thickBot="1" x14ac:dyDescent="0.3">
      <c r="B51" s="70">
        <v>52</v>
      </c>
      <c r="C51" s="71">
        <v>101155</v>
      </c>
      <c r="D51" s="108" t="s">
        <v>113</v>
      </c>
      <c r="E51" s="72" t="s">
        <v>101</v>
      </c>
      <c r="F51" s="73">
        <v>6148995.4800000004</v>
      </c>
      <c r="G51" s="73">
        <f>SUM(H51:AQ51)</f>
        <v>6001336.6299999999</v>
      </c>
      <c r="H51" s="73"/>
      <c r="I51" s="73"/>
      <c r="J51" s="73"/>
      <c r="K51" s="73"/>
      <c r="L51" s="73"/>
      <c r="M51" s="73"/>
      <c r="N51" s="73"/>
      <c r="O51" s="73"/>
      <c r="P51" s="73"/>
      <c r="Q51" s="73">
        <v>1260000</v>
      </c>
      <c r="R51" s="73">
        <v>688161.6</v>
      </c>
      <c r="S51" s="73">
        <v>1144310.97</v>
      </c>
      <c r="T51" s="73"/>
      <c r="U51" s="73">
        <f>921842.26</f>
        <v>921842.26</v>
      </c>
      <c r="V51" s="73">
        <f>80803.8+261904.5+173151</f>
        <v>515859.3</v>
      </c>
      <c r="W51" s="73"/>
      <c r="X51" s="73"/>
      <c r="Y51" s="73">
        <v>1249387.2</v>
      </c>
      <c r="Z51" s="73">
        <v>221775.3</v>
      </c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4">
        <f t="shared" si="7"/>
        <v>6001336.6299999999</v>
      </c>
    </row>
    <row r="52" spans="2:47" ht="32.25" thickTop="1" x14ac:dyDescent="0.25">
      <c r="B52" s="89">
        <v>59</v>
      </c>
      <c r="C52" s="85">
        <v>101124</v>
      </c>
      <c r="D52" s="111" t="s">
        <v>113</v>
      </c>
      <c r="E52" s="86" t="s">
        <v>95</v>
      </c>
      <c r="F52" s="87">
        <v>23936400</v>
      </c>
      <c r="G52" s="87">
        <f>SUM(H52:AQ52)</f>
        <v>23743457.199999999</v>
      </c>
      <c r="H52" s="87"/>
      <c r="I52" s="87"/>
      <c r="J52" s="87"/>
      <c r="K52" s="87"/>
      <c r="L52" s="87"/>
      <c r="M52" s="87"/>
      <c r="N52" s="87"/>
      <c r="O52" s="87"/>
      <c r="P52" s="87"/>
      <c r="Q52" s="87">
        <f>4232923.2+1611720+168492.11+1656545.42</f>
        <v>7669680.7300000004</v>
      </c>
      <c r="R52" s="87"/>
      <c r="S52" s="87">
        <f>4195787.26-2710953.78</f>
        <v>1484833.48</v>
      </c>
      <c r="T52" s="87">
        <v>2710953.78</v>
      </c>
      <c r="U52" s="87">
        <v>2710953.78</v>
      </c>
      <c r="V52" s="87">
        <f>5085951.46+299173.62+60783.63+3575.5+116483.7+6851.98</f>
        <v>5572819.8900000006</v>
      </c>
      <c r="W52" s="87"/>
      <c r="X52" s="87"/>
      <c r="Y52" s="87">
        <f>2895199.96+170305.88</f>
        <v>3065505.84</v>
      </c>
      <c r="Z52" s="87">
        <f>499337+29372.7</f>
        <v>528709.69999999995</v>
      </c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>
        <f>3594215.56+20149241.64</f>
        <v>23743457.199999999</v>
      </c>
      <c r="AS52" s="88">
        <f t="shared" si="7"/>
        <v>0</v>
      </c>
    </row>
    <row r="53" spans="2:47" ht="31.5" x14ac:dyDescent="0.25">
      <c r="B53" s="60">
        <v>52</v>
      </c>
      <c r="C53" s="61">
        <v>101018</v>
      </c>
      <c r="D53" s="107" t="s">
        <v>113</v>
      </c>
      <c r="E53" s="62" t="s">
        <v>96</v>
      </c>
      <c r="F53" s="63">
        <v>2069560</v>
      </c>
      <c r="G53" s="63">
        <f>SUM(H53:AQ53)</f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>
        <v>17545.14</v>
      </c>
      <c r="T53" s="63">
        <v>12100</v>
      </c>
      <c r="U53" s="63">
        <v>1125645.06</v>
      </c>
      <c r="V53" s="63">
        <v>12100</v>
      </c>
      <c r="W53" s="63">
        <v>12100</v>
      </c>
      <c r="X53" s="63"/>
      <c r="Y53" s="63">
        <v>877969.75</v>
      </c>
      <c r="Z53" s="63">
        <v>12100</v>
      </c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>
        <f>943914.89+1105924.62</f>
        <v>2049839.5100000002</v>
      </c>
      <c r="AS53" s="64">
        <f t="shared" si="7"/>
        <v>19720.439999999711</v>
      </c>
      <c r="AU53" s="95"/>
    </row>
    <row r="54" spans="2:47" ht="47.25" x14ac:dyDescent="0.25">
      <c r="B54" s="60">
        <v>52</v>
      </c>
      <c r="C54" s="61">
        <v>101151</v>
      </c>
      <c r="D54" s="107" t="s">
        <v>113</v>
      </c>
      <c r="E54" s="62" t="s">
        <v>100</v>
      </c>
      <c r="F54" s="63">
        <v>8811260.8399999999</v>
      </c>
      <c r="G54" s="63">
        <f t="shared" ref="G54:G69" si="8">SUM(H54:AQ54)</f>
        <v>4229684.08</v>
      </c>
      <c r="H54" s="63"/>
      <c r="I54" s="63"/>
      <c r="J54" s="63"/>
      <c r="K54" s="63"/>
      <c r="L54" s="63"/>
      <c r="M54" s="63"/>
      <c r="N54" s="63"/>
      <c r="O54" s="63"/>
      <c r="P54" s="63"/>
      <c r="Q54" s="63">
        <v>43200</v>
      </c>
      <c r="R54" s="63"/>
      <c r="S54" s="63">
        <f>10890+1352258.13</f>
        <v>1363148.13</v>
      </c>
      <c r="T54" s="63"/>
      <c r="U54" s="63">
        <f>21251.84+1073449.08</f>
        <v>1094700.9200000002</v>
      </c>
      <c r="V54" s="63">
        <f>817442.6+26565.07</f>
        <v>844007.66999999993</v>
      </c>
      <c r="W54" s="63"/>
      <c r="X54" s="63">
        <v>863375.53</v>
      </c>
      <c r="Y54" s="63"/>
      <c r="Z54" s="63">
        <v>21251.83</v>
      </c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4">
        <f t="shared" si="7"/>
        <v>4229684.08</v>
      </c>
    </row>
    <row r="55" spans="2:47" ht="15.75" x14ac:dyDescent="0.25">
      <c r="B55" s="65">
        <v>50</v>
      </c>
      <c r="C55" s="66">
        <v>100931</v>
      </c>
      <c r="D55" s="110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67"/>
      <c r="I55" s="155"/>
      <c r="J55" s="153"/>
      <c r="K55" s="147"/>
      <c r="L55" s="145"/>
      <c r="M55" s="144"/>
      <c r="N55" s="143"/>
      <c r="O55" s="142"/>
      <c r="P55" s="140"/>
      <c r="Q55" s="139"/>
      <c r="R55" s="137"/>
      <c r="S55" s="134"/>
      <c r="T55" s="124"/>
      <c r="U55" s="123"/>
      <c r="V55" s="115">
        <v>16287677.470000001</v>
      </c>
      <c r="W55" s="103">
        <v>3854869.33</v>
      </c>
      <c r="X55" s="99"/>
      <c r="Y55" s="68"/>
      <c r="Z55" s="68">
        <v>10453740.130000001</v>
      </c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9">
        <f t="shared" si="7"/>
        <v>30596286.93</v>
      </c>
    </row>
    <row r="56" spans="2:47" ht="31.5" x14ac:dyDescent="0.25">
      <c r="B56" s="96">
        <v>52</v>
      </c>
      <c r="C56" s="66">
        <v>101133</v>
      </c>
      <c r="D56" s="110" t="s">
        <v>113</v>
      </c>
      <c r="E56" s="67" t="s">
        <v>99</v>
      </c>
      <c r="F56" s="97">
        <v>23562987.300000001</v>
      </c>
      <c r="G56" s="63">
        <f t="shared" si="8"/>
        <v>23239650.780000001</v>
      </c>
      <c r="H56" s="167"/>
      <c r="I56" s="155"/>
      <c r="J56" s="153"/>
      <c r="K56" s="147"/>
      <c r="L56" s="145"/>
      <c r="M56" s="144"/>
      <c r="N56" s="143"/>
      <c r="O56" s="142"/>
      <c r="P56" s="140"/>
      <c r="Q56" s="139"/>
      <c r="R56" s="137"/>
      <c r="S56" s="134"/>
      <c r="T56" s="124">
        <v>2477315.7599999998</v>
      </c>
      <c r="U56" s="123">
        <f>978424.93+9152922.73</f>
        <v>10131347.66</v>
      </c>
      <c r="V56" s="115"/>
      <c r="W56" s="103">
        <v>9405532.6400000006</v>
      </c>
      <c r="X56" s="99"/>
      <c r="Y56" s="97">
        <v>1225454.72</v>
      </c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>
        <v>23239650.780000001</v>
      </c>
      <c r="AS56" s="98">
        <f t="shared" ref="AS56:AS62" si="9">G56-AR56</f>
        <v>0</v>
      </c>
    </row>
    <row r="57" spans="2:47" ht="31.5" x14ac:dyDescent="0.25">
      <c r="B57" s="96">
        <v>52</v>
      </c>
      <c r="C57" s="66">
        <v>101123</v>
      </c>
      <c r="D57" s="110" t="s">
        <v>113</v>
      </c>
      <c r="E57" s="67" t="s">
        <v>107</v>
      </c>
      <c r="F57" s="97">
        <v>27427807.800000001</v>
      </c>
      <c r="G57" s="63">
        <f t="shared" si="8"/>
        <v>26548295.399999999</v>
      </c>
      <c r="H57" s="167"/>
      <c r="I57" s="155"/>
      <c r="J57" s="153"/>
      <c r="K57" s="147"/>
      <c r="L57" s="145"/>
      <c r="M57" s="144"/>
      <c r="N57" s="143"/>
      <c r="O57" s="142"/>
      <c r="P57" s="140"/>
      <c r="Q57" s="139"/>
      <c r="R57" s="137"/>
      <c r="S57" s="134"/>
      <c r="T57" s="124"/>
      <c r="U57" s="123"/>
      <c r="V57" s="115"/>
      <c r="W57" s="103"/>
      <c r="X57" s="99">
        <v>26548295.399999999</v>
      </c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>
        <v>26548295.399999999</v>
      </c>
      <c r="AS57" s="98">
        <f t="shared" si="9"/>
        <v>0</v>
      </c>
    </row>
    <row r="58" spans="2:47" ht="31.5" x14ac:dyDescent="0.25">
      <c r="B58" s="96">
        <v>59</v>
      </c>
      <c r="C58" s="66">
        <v>101159</v>
      </c>
      <c r="D58" s="110" t="s">
        <v>113</v>
      </c>
      <c r="E58" s="67" t="s">
        <v>108</v>
      </c>
      <c r="F58" s="97">
        <v>7011841.5</v>
      </c>
      <c r="G58" s="63">
        <f t="shared" si="8"/>
        <v>5232409.37</v>
      </c>
      <c r="H58" s="167"/>
      <c r="I58" s="155"/>
      <c r="J58" s="153"/>
      <c r="K58" s="147"/>
      <c r="L58" s="145"/>
      <c r="M58" s="144"/>
      <c r="N58" s="143"/>
      <c r="O58" s="142"/>
      <c r="P58" s="140"/>
      <c r="Q58" s="139"/>
      <c r="R58" s="137"/>
      <c r="S58" s="134"/>
      <c r="T58" s="124"/>
      <c r="U58" s="123"/>
      <c r="V58" s="115">
        <f>3725784.9+433613.66</f>
        <v>4159398.56</v>
      </c>
      <c r="W58" s="103">
        <f>121423.5+897059.01</f>
        <v>1018482.51</v>
      </c>
      <c r="X58" s="99">
        <f>3029.35+51498.95</f>
        <v>54528.299999999996</v>
      </c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951587.31+134128.26+4146693.8</f>
        <v>5232409.37</v>
      </c>
      <c r="AS58" s="98">
        <f t="shared" si="9"/>
        <v>0</v>
      </c>
    </row>
    <row r="59" spans="2:47" ht="31.5" x14ac:dyDescent="0.25">
      <c r="B59" s="96">
        <v>19</v>
      </c>
      <c r="C59" s="66">
        <v>1206</v>
      </c>
      <c r="D59" s="104" t="s">
        <v>128</v>
      </c>
      <c r="E59" s="67" t="s">
        <v>104</v>
      </c>
      <c r="F59" s="97">
        <v>4009489.18</v>
      </c>
      <c r="G59" s="63">
        <f t="shared" si="8"/>
        <v>2905578.8099999996</v>
      </c>
      <c r="H59" s="167"/>
      <c r="I59" s="155"/>
      <c r="J59" s="153"/>
      <c r="K59" s="147"/>
      <c r="L59" s="145"/>
      <c r="M59" s="144"/>
      <c r="N59" s="143"/>
      <c r="O59" s="142"/>
      <c r="P59" s="140"/>
      <c r="Q59" s="139">
        <v>504807.3</v>
      </c>
      <c r="R59" s="137"/>
      <c r="S59" s="134"/>
      <c r="T59" s="124"/>
      <c r="U59" s="123">
        <v>41382</v>
      </c>
      <c r="V59" s="115">
        <v>2318007.5099999998</v>
      </c>
      <c r="W59" s="103"/>
      <c r="X59" s="99">
        <v>41382</v>
      </c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>
        <f>2564326.5+341252.31</f>
        <v>2905578.81</v>
      </c>
      <c r="AS59" s="98">
        <f t="shared" si="9"/>
        <v>0</v>
      </c>
    </row>
    <row r="60" spans="2:47" ht="63" x14ac:dyDescent="0.25">
      <c r="B60" s="101">
        <v>19</v>
      </c>
      <c r="C60" s="66">
        <v>1127</v>
      </c>
      <c r="D60" s="104" t="s">
        <v>129</v>
      </c>
      <c r="E60" s="67" t="s">
        <v>106</v>
      </c>
      <c r="F60" s="102">
        <v>6813999</v>
      </c>
      <c r="G60" s="63">
        <f t="shared" si="8"/>
        <v>6292531.4000000004</v>
      </c>
      <c r="H60" s="167"/>
      <c r="I60" s="155"/>
      <c r="J60" s="153"/>
      <c r="K60" s="147"/>
      <c r="L60" s="145"/>
      <c r="M60" s="144"/>
      <c r="N60" s="143"/>
      <c r="O60" s="142"/>
      <c r="P60" s="140"/>
      <c r="Q60" s="139"/>
      <c r="R60" s="137">
        <v>3071578.5</v>
      </c>
      <c r="S60" s="134"/>
      <c r="T60" s="124"/>
      <c r="U60" s="123"/>
      <c r="V60" s="115">
        <v>1719788</v>
      </c>
      <c r="W60" s="103"/>
      <c r="X60" s="102">
        <v>1501164.9</v>
      </c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>
        <v>6292531.4000000004</v>
      </c>
      <c r="AS60" s="98">
        <f t="shared" si="9"/>
        <v>0</v>
      </c>
    </row>
    <row r="61" spans="2:47" ht="31.5" x14ac:dyDescent="0.25">
      <c r="B61" s="101">
        <v>52</v>
      </c>
      <c r="C61" s="66">
        <v>101140</v>
      </c>
      <c r="D61" s="110" t="s">
        <v>113</v>
      </c>
      <c r="E61" s="67" t="s">
        <v>110</v>
      </c>
      <c r="F61" s="102">
        <v>3674386.5</v>
      </c>
      <c r="G61" s="63">
        <f t="shared" si="8"/>
        <v>3011691.06</v>
      </c>
      <c r="H61" s="167"/>
      <c r="I61" s="155">
        <v>2268</v>
      </c>
      <c r="J61" s="153">
        <f>2268+528701.04</f>
        <v>530969.04</v>
      </c>
      <c r="K61" s="147">
        <v>309309.42</v>
      </c>
      <c r="L61" s="145"/>
      <c r="M61" s="144">
        <f>1014417.6+2268</f>
        <v>1016685.6</v>
      </c>
      <c r="N61" s="143">
        <v>2268</v>
      </c>
      <c r="O61" s="142"/>
      <c r="P61" s="140">
        <f>1115499+2268</f>
        <v>1117767</v>
      </c>
      <c r="Q61" s="139">
        <v>9324</v>
      </c>
      <c r="R61" s="137"/>
      <c r="S61" s="134"/>
      <c r="T61" s="124"/>
      <c r="U61" s="123"/>
      <c r="V61" s="105"/>
      <c r="W61" s="103">
        <v>23100</v>
      </c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0">
        <f t="shared" si="9"/>
        <v>3011691.06</v>
      </c>
    </row>
    <row r="62" spans="2:47" ht="15.75" x14ac:dyDescent="0.25">
      <c r="B62" s="118">
        <v>59</v>
      </c>
      <c r="C62" s="66">
        <v>101166</v>
      </c>
      <c r="D62" s="119" t="s">
        <v>113</v>
      </c>
      <c r="E62" s="67" t="s">
        <v>111</v>
      </c>
      <c r="F62" s="117">
        <v>4708034.0999999996</v>
      </c>
      <c r="G62" s="63">
        <f t="shared" si="8"/>
        <v>4262722.2</v>
      </c>
      <c r="H62" s="167"/>
      <c r="I62" s="155"/>
      <c r="J62" s="152"/>
      <c r="K62" s="147"/>
      <c r="L62" s="145"/>
      <c r="M62" s="144"/>
      <c r="N62" s="143"/>
      <c r="O62" s="142"/>
      <c r="P62" s="140"/>
      <c r="Q62" s="139"/>
      <c r="R62" s="137"/>
      <c r="S62" s="134"/>
      <c r="T62" s="124"/>
      <c r="U62" s="123"/>
      <c r="V62" s="117"/>
      <c r="W62" s="117">
        <f>555390+3707332.2</f>
        <v>4262722.2</v>
      </c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00">
        <f t="shared" si="9"/>
        <v>4262722.2</v>
      </c>
    </row>
    <row r="63" spans="2:47" ht="31.5" x14ac:dyDescent="0.25">
      <c r="B63" s="120">
        <v>59</v>
      </c>
      <c r="C63" s="66">
        <v>101258</v>
      </c>
      <c r="D63" s="122" t="s">
        <v>113</v>
      </c>
      <c r="E63" s="67" t="s">
        <v>131</v>
      </c>
      <c r="F63" s="121">
        <v>6289074</v>
      </c>
      <c r="G63" s="63">
        <f t="shared" si="8"/>
        <v>6053436.120000001</v>
      </c>
      <c r="H63" s="167"/>
      <c r="I63" s="155"/>
      <c r="J63" s="152"/>
      <c r="K63" s="147"/>
      <c r="L63" s="145"/>
      <c r="M63" s="144"/>
      <c r="N63" s="143"/>
      <c r="O63" s="142">
        <f>283857.3+233146.8+365313.53+420192.51</f>
        <v>1302510.1400000001</v>
      </c>
      <c r="P63" s="140"/>
      <c r="Q63" s="139">
        <f>44226+44787.6+1413291.11+130510.05</f>
        <v>1632814.7600000002</v>
      </c>
      <c r="R63" s="137">
        <v>1171868.3999999999</v>
      </c>
      <c r="S63" s="134">
        <f>1259933.54+74052+139936.5+153298.8</f>
        <v>1627220.84</v>
      </c>
      <c r="T63" s="124"/>
      <c r="U63" s="123">
        <f>267227.13+51794.85</f>
        <v>319021.98</v>
      </c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16">
        <f>G63-AR63</f>
        <v>6053436.120000001</v>
      </c>
    </row>
    <row r="64" spans="2:47" ht="31.5" x14ac:dyDescent="0.25">
      <c r="B64" s="60">
        <v>52</v>
      </c>
      <c r="C64" s="61">
        <v>101252</v>
      </c>
      <c r="D64" s="107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>
        <v>1810574.5</v>
      </c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>
        <f>1810574.3+0.2</f>
        <v>1810574.5</v>
      </c>
      <c r="AS64" s="64">
        <f>G64-AR64</f>
        <v>0</v>
      </c>
    </row>
    <row r="65" spans="2:45" ht="47.25" x14ac:dyDescent="0.25">
      <c r="B65" s="60">
        <v>52</v>
      </c>
      <c r="C65" s="61">
        <v>101217</v>
      </c>
      <c r="D65" s="107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>
        <v>19387.34</v>
      </c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4">
        <f t="shared" ref="AS65:AS72" si="10">G65-AR65</f>
        <v>19387.34</v>
      </c>
    </row>
    <row r="66" spans="2:45" ht="47.25" x14ac:dyDescent="0.25">
      <c r="B66" s="127">
        <v>52</v>
      </c>
      <c r="C66" s="66">
        <v>101317</v>
      </c>
      <c r="D66" s="128" t="s">
        <v>113</v>
      </c>
      <c r="E66" s="67" t="s">
        <v>135</v>
      </c>
      <c r="F66" s="126">
        <v>2503081.2000000002</v>
      </c>
      <c r="G66" s="63">
        <f t="shared" si="8"/>
        <v>12657.15</v>
      </c>
      <c r="H66" s="167"/>
      <c r="I66" s="155"/>
      <c r="J66" s="152"/>
      <c r="K66" s="147"/>
      <c r="L66" s="145"/>
      <c r="M66" s="144"/>
      <c r="N66" s="143"/>
      <c r="O66" s="142"/>
      <c r="P66" s="140"/>
      <c r="Q66" s="139"/>
      <c r="R66" s="137"/>
      <c r="S66" s="134"/>
      <c r="T66" s="126">
        <v>12657.15</v>
      </c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5">
        <f t="shared" si="10"/>
        <v>12657.15</v>
      </c>
    </row>
    <row r="67" spans="2:45" ht="15.75" x14ac:dyDescent="0.25">
      <c r="B67" s="129">
        <v>59</v>
      </c>
      <c r="C67" s="66">
        <v>101240</v>
      </c>
      <c r="D67" s="131" t="s">
        <v>113</v>
      </c>
      <c r="E67" s="67" t="s">
        <v>137</v>
      </c>
      <c r="F67" s="130">
        <v>2250000</v>
      </c>
      <c r="G67" s="63">
        <f t="shared" si="8"/>
        <v>2176911</v>
      </c>
      <c r="H67" s="167"/>
      <c r="I67" s="155"/>
      <c r="J67" s="152"/>
      <c r="K67" s="147"/>
      <c r="L67" s="145"/>
      <c r="M67" s="144"/>
      <c r="N67" s="143"/>
      <c r="O67" s="142"/>
      <c r="P67" s="140"/>
      <c r="Q67" s="139"/>
      <c r="R67" s="137"/>
      <c r="S67" s="134">
        <v>2176911</v>
      </c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>
        <v>2176911</v>
      </c>
      <c r="AS67" s="125">
        <f t="shared" si="10"/>
        <v>0</v>
      </c>
    </row>
    <row r="68" spans="2:45" ht="31.5" x14ac:dyDescent="0.25">
      <c r="B68" s="148">
        <v>19</v>
      </c>
      <c r="C68" s="66">
        <v>1104</v>
      </c>
      <c r="D68" s="151" t="s">
        <v>138</v>
      </c>
      <c r="E68" s="67" t="s">
        <v>139</v>
      </c>
      <c r="F68" s="149">
        <v>2842597.8</v>
      </c>
      <c r="G68" s="63">
        <f t="shared" si="8"/>
        <v>2335150.96</v>
      </c>
      <c r="H68" s="63"/>
      <c r="I68" s="63"/>
      <c r="J68" s="63"/>
      <c r="K68" s="147"/>
      <c r="L68" s="145"/>
      <c r="M68" s="144"/>
      <c r="N68" s="143"/>
      <c r="O68" s="142"/>
      <c r="P68" s="140"/>
      <c r="Q68" s="139"/>
      <c r="R68" s="137"/>
      <c r="S68" s="149">
        <v>2335150.96</v>
      </c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>
        <v>2335150.96</v>
      </c>
      <c r="AS68" s="132">
        <f t="shared" si="10"/>
        <v>0</v>
      </c>
    </row>
    <row r="69" spans="2:45" ht="31.5" x14ac:dyDescent="0.25">
      <c r="B69" s="158">
        <v>59</v>
      </c>
      <c r="C69" s="159">
        <v>101234</v>
      </c>
      <c r="D69" s="160" t="s">
        <v>113</v>
      </c>
      <c r="E69" s="161" t="s">
        <v>149</v>
      </c>
      <c r="F69" s="162">
        <v>5288099.4000000004</v>
      </c>
      <c r="G69" s="63">
        <f t="shared" si="8"/>
        <v>2300265.36</v>
      </c>
      <c r="H69" s="167"/>
      <c r="I69" s="155"/>
      <c r="J69" s="157"/>
      <c r="K69" s="162">
        <v>2300265.36</v>
      </c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50">
        <f t="shared" si="10"/>
        <v>2300265.36</v>
      </c>
    </row>
    <row r="70" spans="2:45" ht="31.5" x14ac:dyDescent="0.25">
      <c r="B70" s="168">
        <v>52</v>
      </c>
      <c r="C70" s="66">
        <v>101120</v>
      </c>
      <c r="D70" s="171" t="s">
        <v>113</v>
      </c>
      <c r="E70" s="67" t="s">
        <v>152</v>
      </c>
      <c r="F70" s="169">
        <v>4643348.5</v>
      </c>
      <c r="G70" s="157">
        <f>SUM(H70:AQ70)</f>
        <v>246075.94</v>
      </c>
      <c r="H70" s="172">
        <v>227199.94</v>
      </c>
      <c r="I70" s="169">
        <v>18876</v>
      </c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56">
        <f t="shared" si="10"/>
        <v>246075.94</v>
      </c>
    </row>
    <row r="71" spans="2:45" ht="47.25" x14ac:dyDescent="0.25">
      <c r="B71" s="168">
        <v>52</v>
      </c>
      <c r="C71" s="66">
        <v>101225</v>
      </c>
      <c r="D71" s="171" t="s">
        <v>113</v>
      </c>
      <c r="E71" s="67" t="s">
        <v>155</v>
      </c>
      <c r="F71" s="169">
        <v>4236570.5</v>
      </c>
      <c r="G71" s="169">
        <f>SUM(H71:AQ71)</f>
        <v>770999.22</v>
      </c>
      <c r="H71" s="172">
        <v>770999.22</v>
      </c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70">
        <f t="shared" si="10"/>
        <v>770999.22</v>
      </c>
    </row>
    <row r="72" spans="2:45" ht="16.5" thickBot="1" x14ac:dyDescent="0.3">
      <c r="B72" s="163">
        <v>50</v>
      </c>
      <c r="C72" s="164">
        <v>100919</v>
      </c>
      <c r="D72" s="165" t="s">
        <v>113</v>
      </c>
      <c r="E72" s="166" t="s">
        <v>156</v>
      </c>
      <c r="F72" s="154">
        <v>196323970.13999999</v>
      </c>
      <c r="G72" s="169">
        <f>SUM(H72:AQ72)</f>
        <v>14302067.390000001</v>
      </c>
      <c r="H72" s="154">
        <f>19471.32+73507.5+14209088.57</f>
        <v>14302067.390000001</v>
      </c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70">
        <f t="shared" si="10"/>
        <v>14302067.390000001</v>
      </c>
    </row>
    <row r="73" spans="2:45" ht="20.100000000000001" customHeight="1" thickTop="1" thickBot="1" x14ac:dyDescent="0.3">
      <c r="B73" s="81"/>
      <c r="C73" s="82"/>
      <c r="D73" s="82"/>
      <c r="E73" s="82"/>
      <c r="F73" s="83">
        <f>SUM(F4:F72)</f>
        <v>1582959680.97925</v>
      </c>
      <c r="G73" s="83">
        <f>SUM(G4:G72)</f>
        <v>983895179.16999996</v>
      </c>
      <c r="H73" s="83">
        <f>SUM(H4:H72)</f>
        <v>28560970.490000002</v>
      </c>
      <c r="I73" s="83">
        <f t="shared" ref="I73:AQ73" si="11">SUM(I4:I72)</f>
        <v>6247365.0300000003</v>
      </c>
      <c r="J73" s="83">
        <f t="shared" si="11"/>
        <v>6180312.4100000001</v>
      </c>
      <c r="K73" s="83">
        <f t="shared" si="11"/>
        <v>4417253.9800000004</v>
      </c>
      <c r="L73" s="83">
        <f t="shared" si="11"/>
        <v>9966681.7200000007</v>
      </c>
      <c r="M73" s="83">
        <f t="shared" si="11"/>
        <v>9698266.3599999994</v>
      </c>
      <c r="N73" s="83">
        <f t="shared" si="11"/>
        <v>8594659.75</v>
      </c>
      <c r="O73" s="83">
        <f t="shared" si="11"/>
        <v>1304905.9400000002</v>
      </c>
      <c r="P73" s="83">
        <f t="shared" si="11"/>
        <v>10914675.17</v>
      </c>
      <c r="Q73" s="83">
        <f t="shared" si="11"/>
        <v>29312816.630000006</v>
      </c>
      <c r="R73" s="83">
        <f t="shared" si="11"/>
        <v>10199294.83</v>
      </c>
      <c r="S73" s="83">
        <f t="shared" si="11"/>
        <v>43250051.13000001</v>
      </c>
      <c r="T73" s="83">
        <f t="shared" si="11"/>
        <v>19218115.23</v>
      </c>
      <c r="U73" s="83">
        <f t="shared" si="11"/>
        <v>47037920.500000007</v>
      </c>
      <c r="V73" s="83">
        <f t="shared" si="11"/>
        <v>54193399.359999999</v>
      </c>
      <c r="W73" s="83">
        <f t="shared" si="11"/>
        <v>73354204.99000001</v>
      </c>
      <c r="X73" s="83">
        <f t="shared" si="11"/>
        <v>34276098.340000004</v>
      </c>
      <c r="Y73" s="83">
        <f t="shared" si="11"/>
        <v>33723490.390000001</v>
      </c>
      <c r="Z73" s="83">
        <f t="shared" si="11"/>
        <v>34962249.579999998</v>
      </c>
      <c r="AA73" s="83">
        <f t="shared" si="11"/>
        <v>68195259.400000006</v>
      </c>
      <c r="AB73" s="83">
        <f t="shared" si="11"/>
        <v>19919223.909999996</v>
      </c>
      <c r="AC73" s="83">
        <f t="shared" si="11"/>
        <v>53366828.850000001</v>
      </c>
      <c r="AD73" s="83">
        <f t="shared" si="11"/>
        <v>25764997.969999999</v>
      </c>
      <c r="AE73" s="83">
        <f t="shared" si="11"/>
        <v>56876644.520000003</v>
      </c>
      <c r="AF73" s="83">
        <f t="shared" si="11"/>
        <v>55694756.119999997</v>
      </c>
      <c r="AG73" s="83">
        <f t="shared" si="11"/>
        <v>3693296.3600000003</v>
      </c>
      <c r="AH73" s="83">
        <f t="shared" si="11"/>
        <v>894272.2</v>
      </c>
      <c r="AI73" s="83">
        <f t="shared" si="11"/>
        <v>17376.990000000002</v>
      </c>
      <c r="AJ73" s="83">
        <f t="shared" si="11"/>
        <v>16414704.029999999</v>
      </c>
      <c r="AK73" s="83">
        <f t="shared" si="11"/>
        <v>3244919.44</v>
      </c>
      <c r="AL73" s="83">
        <f t="shared" si="11"/>
        <v>30566884.609999999</v>
      </c>
      <c r="AM73" s="83">
        <f t="shared" si="11"/>
        <v>18250721.109999999</v>
      </c>
      <c r="AN73" s="83">
        <f t="shared" si="11"/>
        <v>19474817.859999999</v>
      </c>
      <c r="AO73" s="83">
        <f t="shared" si="11"/>
        <v>59854153.43</v>
      </c>
      <c r="AP73" s="83">
        <f t="shared" si="11"/>
        <v>37393590.539999999</v>
      </c>
      <c r="AQ73" s="83">
        <f t="shared" si="11"/>
        <v>48860000</v>
      </c>
      <c r="AR73" s="83">
        <f>SUM(AR4:AR72)</f>
        <v>748223704.7700001</v>
      </c>
      <c r="AS73" s="133">
        <f>SUM(AS4:AS72)</f>
        <v>235671474.40000004</v>
      </c>
    </row>
    <row r="74" spans="2:45" ht="24.75" customHeight="1" thickTop="1" thickBot="1" x14ac:dyDescent="0.3">
      <c r="B74" s="181" t="s">
        <v>40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84">
        <f>600000000-AS73</f>
        <v>364328525.59999996</v>
      </c>
    </row>
    <row r="75" spans="2:45" ht="15.75" thickTop="1" x14ac:dyDescent="0.25"/>
    <row r="76" spans="2:45" x14ac:dyDescent="0.25">
      <c r="AR76" s="95"/>
    </row>
    <row r="77" spans="2:45" x14ac:dyDescent="0.25"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</row>
  </sheetData>
  <mergeCells count="53">
    <mergeCell ref="D40:D41"/>
    <mergeCell ref="U2:U3"/>
    <mergeCell ref="T2:T3"/>
    <mergeCell ref="S2:S3"/>
    <mergeCell ref="R2:R3"/>
    <mergeCell ref="Q2:Q3"/>
    <mergeCell ref="N2:N3"/>
    <mergeCell ref="E2:E3"/>
    <mergeCell ref="K2:K3"/>
    <mergeCell ref="I2:I3"/>
    <mergeCell ref="H2:H3"/>
    <mergeCell ref="AS40:AS41"/>
    <mergeCell ref="Y2:Y3"/>
    <mergeCell ref="Z2:Z3"/>
    <mergeCell ref="AA2:AA3"/>
    <mergeCell ref="AB2:AB3"/>
    <mergeCell ref="AD2:AD3"/>
    <mergeCell ref="AI2:AI3"/>
    <mergeCell ref="AE2:AE3"/>
    <mergeCell ref="AK2:AK3"/>
    <mergeCell ref="AJ2:AJ3"/>
    <mergeCell ref="AH2:AH3"/>
    <mergeCell ref="AF2:AF3"/>
    <mergeCell ref="AG2:AG3"/>
    <mergeCell ref="AR40:AR41"/>
    <mergeCell ref="AS2:AS3"/>
    <mergeCell ref="AQ2:AQ3"/>
    <mergeCell ref="B74:AR74"/>
    <mergeCell ref="B1:F1"/>
    <mergeCell ref="AR2:AR3"/>
    <mergeCell ref="P2:P3"/>
    <mergeCell ref="O2:O3"/>
    <mergeCell ref="AC2:AC3"/>
    <mergeCell ref="L2:L3"/>
    <mergeCell ref="M2:M3"/>
    <mergeCell ref="X2:X3"/>
    <mergeCell ref="E40:E41"/>
    <mergeCell ref="B40:B41"/>
    <mergeCell ref="F40:F41"/>
    <mergeCell ref="G40:G41"/>
    <mergeCell ref="W2:W3"/>
    <mergeCell ref="G2:G3"/>
    <mergeCell ref="C2:C3"/>
    <mergeCell ref="B2:B3"/>
    <mergeCell ref="F2:F3"/>
    <mergeCell ref="AN2:AN3"/>
    <mergeCell ref="AO2:AO3"/>
    <mergeCell ref="AP2:AP3"/>
    <mergeCell ref="AM2:AM3"/>
    <mergeCell ref="AL2:AL3"/>
    <mergeCell ref="V2:V3"/>
    <mergeCell ref="D2:D3"/>
    <mergeCell ref="J2:J3"/>
  </mergeCells>
  <pageMargins left="0.70866141732283472" right="0.70866141732283472" top="0.39370078740157483" bottom="0.78740157480314965" header="0.31496062992125984" footer="0.31496062992125984"/>
  <pageSetup paperSize="9" scale="63" firstPageNumber="5" fitToHeight="0" orientation="landscape" useFirstPageNumber="1" r:id="rId1"/>
  <headerFooter>
    <oddFooter>&amp;LZastupitelstvo Olomouckého kraje 24. 06. 2019
8.5. - Rozpočet Olomouckého kraje 2019 - splátka revolvingového úvěru KB
Příloha č. 1 - přehled revolvingového úvěru&amp;RStrana &amp;P (celkem 7)</oddFooter>
  </headerFooter>
  <rowBreaks count="2" manualBreakCount="2">
    <brk id="28" min="1" max="24" man="1"/>
    <brk id="51" min="1" max="30" man="1"/>
  </rowBreaks>
  <ignoredErrors>
    <ignoredError sqref="G1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02" t="s">
        <v>25</v>
      </c>
      <c r="B1" s="202"/>
      <c r="C1" s="202"/>
      <c r="D1" s="202"/>
      <c r="E1" s="202"/>
      <c r="F1" s="202"/>
      <c r="G1" s="20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11" t="s">
        <v>0</v>
      </c>
      <c r="B4" s="213" t="s">
        <v>5</v>
      </c>
      <c r="C4" s="213" t="s">
        <v>6</v>
      </c>
      <c r="D4" s="205" t="s">
        <v>10</v>
      </c>
      <c r="E4" s="205" t="s">
        <v>1</v>
      </c>
      <c r="F4" s="209" t="s">
        <v>4</v>
      </c>
      <c r="G4" s="205" t="s">
        <v>7</v>
      </c>
      <c r="H4" s="203" t="s">
        <v>3</v>
      </c>
      <c r="I4" s="205" t="s">
        <v>9</v>
      </c>
      <c r="J4" s="205" t="s">
        <v>12</v>
      </c>
      <c r="K4" s="205" t="s">
        <v>8</v>
      </c>
      <c r="L4" s="207" t="s">
        <v>13</v>
      </c>
      <c r="M4" s="215" t="s">
        <v>14</v>
      </c>
    </row>
    <row r="5" spans="1:13" ht="39" customHeight="1" thickBot="1" x14ac:dyDescent="0.25">
      <c r="A5" s="212"/>
      <c r="B5" s="214"/>
      <c r="C5" s="214"/>
      <c r="D5" s="206"/>
      <c r="E5" s="206"/>
      <c r="F5" s="210"/>
      <c r="G5" s="206"/>
      <c r="H5" s="204"/>
      <c r="I5" s="206"/>
      <c r="J5" s="206"/>
      <c r="K5" s="206"/>
      <c r="L5" s="208"/>
      <c r="M5" s="21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99" t="s">
        <v>2</v>
      </c>
      <c r="B11" s="200"/>
      <c r="C11" s="200"/>
      <c r="D11" s="200"/>
      <c r="E11" s="20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11" t="s">
        <v>0</v>
      </c>
      <c r="B13" s="213" t="s">
        <v>5</v>
      </c>
      <c r="C13" s="213" t="s">
        <v>6</v>
      </c>
      <c r="D13" s="205" t="s">
        <v>10</v>
      </c>
      <c r="E13" s="205" t="s">
        <v>1</v>
      </c>
      <c r="F13" s="209" t="s">
        <v>4</v>
      </c>
      <c r="G13" s="205" t="s">
        <v>7</v>
      </c>
      <c r="H13" s="203" t="s">
        <v>3</v>
      </c>
      <c r="I13" s="205" t="s">
        <v>9</v>
      </c>
      <c r="J13" s="205" t="s">
        <v>12</v>
      </c>
      <c r="K13" s="205" t="s">
        <v>8</v>
      </c>
      <c r="L13" s="207" t="s">
        <v>13</v>
      </c>
      <c r="M13" s="215" t="s">
        <v>14</v>
      </c>
    </row>
    <row r="14" spans="1:13" ht="39" customHeight="1" thickBot="1" x14ac:dyDescent="0.25">
      <c r="A14" s="212"/>
      <c r="B14" s="214"/>
      <c r="C14" s="214"/>
      <c r="D14" s="206"/>
      <c r="E14" s="206"/>
      <c r="F14" s="210"/>
      <c r="G14" s="206"/>
      <c r="H14" s="204"/>
      <c r="I14" s="206"/>
      <c r="J14" s="206"/>
      <c r="K14" s="206"/>
      <c r="L14" s="208"/>
      <c r="M14" s="21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99" t="s">
        <v>26</v>
      </c>
      <c r="B19" s="200"/>
      <c r="C19" s="200"/>
      <c r="D19" s="200"/>
      <c r="E19" s="20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99" t="s">
        <v>2</v>
      </c>
      <c r="B21" s="200"/>
      <c r="C21" s="200"/>
      <c r="D21" s="200"/>
      <c r="E21" s="20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01"/>
      <c r="L22" s="20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2019-05-14T07:12:11Z</cp:lastPrinted>
  <dcterms:created xsi:type="dcterms:W3CDTF">2013-11-04T07:24:03Z</dcterms:created>
  <dcterms:modified xsi:type="dcterms:W3CDTF">2019-06-04T11:35:19Z</dcterms:modified>
</cp:coreProperties>
</file>