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17. splátka\ZOK 24.4.2023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úvěru'!$B$1:$Y$50</definedName>
  </definedNames>
  <calcPr calcId="162913"/>
</workbook>
</file>

<file path=xl/calcChain.xml><?xml version="1.0" encoding="utf-8"?>
<calcChain xmlns="http://schemas.openxmlformats.org/spreadsheetml/2006/main">
  <c r="S5" i="6" l="1"/>
  <c r="Y5" i="6" l="1"/>
  <c r="W49" i="6" l="1"/>
  <c r="Y48" i="6" l="1"/>
  <c r="Y47" i="6"/>
  <c r="Y46" i="6"/>
  <c r="Y45" i="6"/>
  <c r="Y44" i="6"/>
  <c r="Y43" i="6"/>
  <c r="Y42" i="6"/>
  <c r="Y41" i="6"/>
  <c r="Y39" i="6"/>
  <c r="Y38" i="6"/>
  <c r="Y37" i="6"/>
  <c r="Y36" i="6"/>
  <c r="Y31" i="6"/>
  <c r="Y30" i="6"/>
  <c r="Y28" i="6"/>
  <c r="Y25" i="6"/>
  <c r="Y24" i="6"/>
  <c r="Y23" i="6"/>
  <c r="Y21" i="6"/>
  <c r="Y18" i="6"/>
  <c r="Y17" i="6"/>
  <c r="Y16" i="6"/>
  <c r="Y15" i="6"/>
  <c r="Y14" i="6"/>
  <c r="Y13" i="6"/>
  <c r="Y12" i="6"/>
  <c r="Y9" i="6"/>
  <c r="Y8" i="6"/>
  <c r="Y7" i="6"/>
  <c r="Y6" i="6"/>
  <c r="Y4" i="6"/>
  <c r="W18" i="6" l="1"/>
  <c r="W17" i="6"/>
  <c r="W14" i="6"/>
  <c r="W39" i="6"/>
  <c r="W46" i="6" l="1"/>
  <c r="Y34" i="6" l="1"/>
  <c r="Y33" i="6"/>
  <c r="Y27" i="6"/>
  <c r="Y26" i="6"/>
  <c r="Y22" i="6"/>
  <c r="Y20" i="6"/>
  <c r="Y19" i="6"/>
  <c r="Y11" i="6"/>
  <c r="X49" i="6"/>
  <c r="Y49" i="6" l="1"/>
  <c r="Y10" i="6"/>
  <c r="Q49" i="6"/>
  <c r="L13" i="6"/>
  <c r="S52" i="6"/>
  <c r="S50" i="6"/>
  <c r="U49" i="6"/>
  <c r="T49" i="6"/>
  <c r="S49" i="6"/>
  <c r="V49" i="6"/>
  <c r="R49" i="6"/>
  <c r="Q50" i="6" l="1"/>
  <c r="U50" i="6"/>
  <c r="W6" i="6" l="1"/>
  <c r="W33" i="6" l="1"/>
  <c r="W7" i="6" l="1"/>
  <c r="W4" i="6" l="1"/>
  <c r="Y35" i="6" l="1"/>
  <c r="Y29" i="6"/>
  <c r="AB4" i="6"/>
  <c r="AD34" i="6"/>
  <c r="AB20" i="6"/>
  <c r="AD46" i="6"/>
  <c r="AD43" i="6"/>
  <c r="AD38" i="6"/>
  <c r="AB29" i="6"/>
  <c r="AB19" i="6"/>
  <c r="AB18" i="6"/>
  <c r="AB14" i="6"/>
  <c r="AB6" i="6"/>
  <c r="AA49" i="6"/>
  <c r="AA55" i="6" s="1"/>
  <c r="AC34" i="6" l="1"/>
  <c r="M52" i="6"/>
  <c r="M49" i="6" l="1"/>
  <c r="N49" i="6"/>
  <c r="O49" i="6"/>
  <c r="P49" i="6"/>
  <c r="G20" i="6"/>
  <c r="G19" i="6"/>
  <c r="G18" i="6"/>
  <c r="G7" i="6"/>
  <c r="G6" i="6"/>
  <c r="M50" i="6"/>
  <c r="I50" i="6"/>
  <c r="O50" i="6" l="1"/>
  <c r="I49" i="6" l="1"/>
  <c r="J49" i="6"/>
  <c r="L23" i="6"/>
  <c r="L21" i="6"/>
  <c r="L9" i="6" l="1"/>
  <c r="K9" i="6"/>
  <c r="L8" i="6"/>
  <c r="K8" i="6"/>
  <c r="L7" i="6"/>
  <c r="K7" i="6"/>
  <c r="L6" i="6"/>
  <c r="K6" i="6"/>
  <c r="L4" i="6"/>
  <c r="K4" i="6"/>
  <c r="L49" i="6" l="1"/>
  <c r="K50" i="6"/>
  <c r="K49" i="6"/>
  <c r="G46" i="6"/>
  <c r="G34" i="6" l="1"/>
  <c r="G14" i="6"/>
  <c r="G17" i="6"/>
  <c r="H4" i="6"/>
  <c r="H49" i="6" s="1"/>
  <c r="G4" i="6"/>
  <c r="G30" i="6"/>
  <c r="G10" i="6" l="1"/>
  <c r="G32" i="6"/>
  <c r="Y32" i="6" s="1"/>
  <c r="G38" i="6"/>
  <c r="G43" i="6"/>
  <c r="G40" i="6"/>
  <c r="Y40" i="6" s="1"/>
  <c r="G50" i="6" l="1"/>
  <c r="I52" i="6" s="1"/>
  <c r="G49" i="6"/>
  <c r="W10" i="6" l="1"/>
  <c r="E46" i="6" l="1"/>
  <c r="E43" i="6"/>
  <c r="E40" i="6"/>
  <c r="E39" i="6"/>
  <c r="E38" i="6"/>
  <c r="E34" i="6"/>
  <c r="E32" i="6"/>
  <c r="E30" i="6"/>
  <c r="E29" i="6"/>
  <c r="E20" i="6"/>
  <c r="E19" i="6"/>
  <c r="E18" i="6"/>
  <c r="E17" i="6"/>
  <c r="E14" i="6"/>
  <c r="E10" i="6"/>
  <c r="E7" i="6"/>
  <c r="E6" i="6"/>
  <c r="F4" i="6"/>
  <c r="F49" i="6" s="1"/>
  <c r="E4" i="6"/>
  <c r="Y52" i="6" l="1"/>
  <c r="E49" i="6"/>
  <c r="E50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52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2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  <comment ref="S52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<sst xmlns="http://schemas.openxmlformats.org/spreadsheetml/2006/main" count="130" uniqueCount="93">
  <si>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</si>
  <si>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</si>
  <si>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</si>
  <si>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</si>
  <si>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</si>
  <si>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</si>
  <si>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</si>
  <si>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</si>
  <si>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</si>
  <si>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</si>
  <si>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</si>
  <si>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</si>
  <si>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</si>
  <si>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</si>
  <si>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</si>
  <si>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</si>
  <si>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</si>
  <si>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</si>
  <si>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</si>
  <si>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</si>
  <si>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</si>
  <si>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</si>
  <si>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</si>
  <si>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</si>
  <si>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</si>
  <si>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</si>
  <si>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</si>
  <si>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</si>
  <si>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</si>
  <si>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</si>
  <si>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</si>
  <si>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</si>
  <si>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</si>
  <si>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</si>
  <si>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</si>
  <si>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</si>
  <si>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</si>
  <si>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</si>
  <si>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</si>
  <si>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</si>
  <si>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</si>
  <si>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</si>
  <si>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</si>
  <si>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</si>
  <si>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</si>
  <si>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</si>
  <si>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</si>
  <si>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</si>
  <si>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</si>
  <si>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</si>
  <si>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</si>
  <si>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</si>
  <si>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</si>
  <si>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</si>
  <si>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</si>
  <si>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</si>
  <si>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</si>
  <si>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</si>
  <si>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</si>
  <si>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</si>
  <si>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</si>
  <si>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</si>
  <si>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</si>
  <si>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</si>
  <si>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</si>
  <si>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</si>
  <si>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</si>
  <si>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</si>
  <si>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</si>
  <si>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</si>
  <si>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</si>
  <si>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</si>
  <si>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</si>
  <si>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</si>
  <si>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</si>
  <si>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</si>
  <si>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</si>
  <si>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</si>
  <si>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</si>
  <si>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SMN a.s. - o.z. Nemocnice Šternberk - Magnetická rezonance - a) zateplení</t>
  </si>
  <si>
    <t>SMN a.s. - o.z. Nemocnice Šternberk - Magnetická rezonance - b) vzduchotechnika</t>
  </si>
  <si>
    <t>Schválený rozpočet 2023</t>
  </si>
  <si>
    <t>Upravený rozpočet 2023</t>
  </si>
  <si>
    <t>Skutečnost 2023</t>
  </si>
  <si>
    <t>Celkový zůstatek revolvingového úvěru ke splacení od počátku čerpání v návaznosti na upravený rozpočet OK 2023</t>
  </si>
  <si>
    <t>Realizace energeticky úsporných opatření - SPŠ Hranice - A) ZATEPLENÍ</t>
  </si>
  <si>
    <t>Střední škola gastronomie, farmářství a služeb Jeseník - rekonstrukce vytápění areálu Heřmanice</t>
  </si>
  <si>
    <t>Základní škola Šternberk, Olomoucká 76 - Zateplení budovy a instalace řízeného větrání - a) zateplení</t>
  </si>
  <si>
    <t>Základní škola Šternberk, Olomoucká 76 - Zateplení budovy a instalace řízeného větrání - b) vzduchotechnika</t>
  </si>
  <si>
    <t>SMN a.s. - o.z. Nemocnice Přerov - Instalace fotovoltaických panelů - 1. etapa</t>
  </si>
  <si>
    <t>SMN a.s. - o.z. Nemocnice Přerov - Instalace fotovoltaických panelů -2. etapa</t>
  </si>
  <si>
    <t>Domov pro seniory Červenka - nový pavilon</t>
  </si>
  <si>
    <t>Centrum sociálních služeb Prostějov - Domov sester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</si>
</sst>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39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0" fillId="0" borderId="30" xfId="0" applyNumberFormat="1" applyFill="1" applyBorder="1" applyAlignment="1">
      <alignment horizontal="center" vertical="center"/>
    </xf>
    <xf numFmtId="4" fontId="5" fillId="0" borderId="62" xfId="0" applyNumberFormat="1" applyFont="1" applyFill="1" applyBorder="1" applyAlignment="1">
      <alignment horizontal="right" vertical="center"/>
    </xf>
    <xf numFmtId="4" fontId="5" fillId="0" borderId="63" xfId="0" applyNumberFormat="1" applyFont="1" applyFill="1" applyBorder="1" applyAlignment="1">
      <alignment horizontal="right" vertical="center"/>
    </xf>
    <xf numFmtId="4" fontId="5" fillId="0" borderId="64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 wrapText="1"/>
    </xf>
    <xf numFmtId="0" fontId="19" fillId="0" borderId="56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 wrapText="1"/>
    </xf>
    <xf numFmtId="4" fontId="2" fillId="0" borderId="4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3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" fontId="25" fillId="0" borderId="47" xfId="0" applyNumberFormat="1" applyFont="1" applyFill="1" applyBorder="1" applyAlignment="1">
      <alignment horizontal="right" vertical="center" wrapText="1"/>
    </xf>
    <xf numFmtId="4" fontId="25" fillId="0" borderId="48" xfId="0" applyNumberFormat="1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4" fontId="5" fillId="0" borderId="61" xfId="0" applyNumberFormat="1" applyFont="1" applyFill="1" applyBorder="1" applyAlignment="1">
      <alignment horizontal="right" vertical="center"/>
    </xf>
    <xf numFmtId="4" fontId="5" fillId="0" borderId="59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4" fontId="25" fillId="0" borderId="65" xfId="0" applyNumberFormat="1" applyFont="1" applyFill="1" applyBorder="1" applyAlignment="1">
      <alignment horizontal="right" vertical="center" wrapText="1"/>
    </xf>
    <xf numFmtId="4" fontId="25" fillId="0" borderId="66" xfId="0" applyNumberFormat="1" applyFont="1" applyFill="1" applyBorder="1" applyAlignment="1">
      <alignment horizontal="right" vertical="center"/>
    </xf>
    <xf numFmtId="0" fontId="20" fillId="0" borderId="49" xfId="0" applyFont="1" applyFill="1" applyBorder="1" applyAlignment="1">
      <alignment horizontal="left" vertical="center"/>
    </xf>
    <xf numFmtId="0" fontId="20" fillId="0" borderId="5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56" xfId="0" applyFont="1" applyFill="1" applyBorder="1" applyAlignment="1">
      <alignment horizontal="center" vertical="center"/>
    </xf>
    <xf numFmtId="0" fontId="24" fillId="0" borderId="53" xfId="0" applyFont="1" applyBorder="1" applyAlignment="1">
      <alignment horizontal="left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55"/>
  <sheetViews>
    <sheetView tabSelected="1" view="pageBreakPreview" zoomScaleNormal="90" zoomScaleSheetLayoutView="100" workbookViewId="0">
      <pane ySplit="3" topLeftCell="A4" activePane="bottomLeft" state="frozen"/>
      <selection pane="bottomLeft" activeCell="D2" sqref="D2:D3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7.85546875" customWidth="1"/>
    <col min="5" max="5" width="16.5703125" hidden="1" customWidth="1"/>
    <col min="6" max="8" width="15.7109375" hidden="1" customWidth="1"/>
    <col min="9" max="10" width="15.7109375" customWidth="1"/>
    <col min="11" max="14" width="14.7109375" hidden="1" customWidth="1"/>
    <col min="15" max="15" width="15.140625" customWidth="1"/>
    <col min="16" max="16" width="14.7109375" customWidth="1"/>
    <col min="17" max="17" width="24.7109375" customWidth="1"/>
    <col min="18" max="18" width="14.7109375" hidden="1" customWidth="1"/>
    <col min="19" max="19" width="24.7109375" customWidth="1"/>
    <col min="20" max="22" width="14.7109375" hidden="1" customWidth="1"/>
    <col min="23" max="23" width="21.85546875" customWidth="1"/>
    <col min="24" max="24" width="21.85546875" hidden="1" customWidth="1"/>
    <col min="25" max="25" width="28.28515625" customWidth="1"/>
    <col min="26" max="26" width="12.42578125" bestFit="1" customWidth="1"/>
    <col min="27" max="27" width="27.28515625" hidden="1" customWidth="1"/>
    <col min="28" max="28" width="28" hidden="1" customWidth="1"/>
    <col min="29" max="29" width="16.5703125" hidden="1" customWidth="1"/>
    <col min="30" max="30" width="12.5703125" hidden="1" customWidth="1"/>
  </cols>
  <sheetData>
    <row r="1" spans="2:28" ht="21.75" thickBot="1" x14ac:dyDescent="0.4">
      <c r="B1" s="120" t="s">
        <v>49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Y1" s="1" t="s">
        <v>27</v>
      </c>
    </row>
    <row r="2" spans="2:28" ht="42.75" customHeight="1" thickTop="1" x14ac:dyDescent="0.25">
      <c r="B2" s="95" t="s">
        <v>5</v>
      </c>
      <c r="C2" s="104" t="s">
        <v>0</v>
      </c>
      <c r="D2" s="106" t="s">
        <v>1</v>
      </c>
      <c r="E2" s="108" t="s">
        <v>28</v>
      </c>
      <c r="F2" s="109"/>
      <c r="G2" s="108" t="s">
        <v>51</v>
      </c>
      <c r="H2" s="109"/>
      <c r="I2" s="108" t="s">
        <v>50</v>
      </c>
      <c r="J2" s="109"/>
      <c r="K2" s="108" t="s">
        <v>52</v>
      </c>
      <c r="L2" s="109"/>
      <c r="M2" s="108" t="s">
        <v>54</v>
      </c>
      <c r="N2" s="109"/>
      <c r="O2" s="108" t="s">
        <v>53</v>
      </c>
      <c r="P2" s="109"/>
      <c r="Q2" s="108" t="s">
        <v>81</v>
      </c>
      <c r="R2" s="109"/>
      <c r="S2" s="108" t="s">
        <v>82</v>
      </c>
      <c r="T2" s="109"/>
      <c r="U2" s="108" t="s">
        <v>83</v>
      </c>
      <c r="V2" s="109"/>
      <c r="W2" s="91" t="s">
        <v>71</v>
      </c>
      <c r="X2" s="91" t="s">
        <v>78</v>
      </c>
      <c r="Y2" s="102" t="s">
        <v>84</v>
      </c>
      <c r="AA2" s="98" t="s">
        <v>72</v>
      </c>
    </row>
    <row r="3" spans="2:28" ht="47.25" customHeight="1" thickBot="1" x14ac:dyDescent="0.3">
      <c r="B3" s="96"/>
      <c r="C3" s="105"/>
      <c r="D3" s="107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84" t="s">
        <v>29</v>
      </c>
      <c r="R3" s="54" t="s">
        <v>30</v>
      </c>
      <c r="S3" s="84" t="s">
        <v>29</v>
      </c>
      <c r="T3" s="54" t="s">
        <v>30</v>
      </c>
      <c r="U3" s="54" t="s">
        <v>29</v>
      </c>
      <c r="V3" s="54" t="s">
        <v>30</v>
      </c>
      <c r="W3" s="92"/>
      <c r="X3" s="92"/>
      <c r="Y3" s="103"/>
      <c r="AA3" s="99"/>
    </row>
    <row r="4" spans="2:28" ht="21.95" customHeight="1" thickTop="1" x14ac:dyDescent="0.25">
      <c r="B4" s="97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v>25038427.510000002</v>
      </c>
      <c r="N4" s="58">
        <v>7242656.75</v>
      </c>
      <c r="O4" s="58">
        <v>25038427.510000002</v>
      </c>
      <c r="P4" s="67">
        <v>7238187.75</v>
      </c>
      <c r="Q4" s="58">
        <v>0</v>
      </c>
      <c r="R4" s="67">
        <v>0</v>
      </c>
      <c r="S4" s="58">
        <v>0</v>
      </c>
      <c r="T4" s="58">
        <v>0</v>
      </c>
      <c r="U4" s="58"/>
      <c r="V4" s="67"/>
      <c r="W4" s="58">
        <f>73429064.09+33576308.03</f>
        <v>107005372.12</v>
      </c>
      <c r="X4" s="58">
        <v>43444762.509999998</v>
      </c>
      <c r="Y4" s="65">
        <f>G4+H4+O4+P4+S4-W4-AA4</f>
        <v>35620195.909999982</v>
      </c>
      <c r="Z4" s="74"/>
      <c r="AA4" s="79">
        <v>6524873.8300000001</v>
      </c>
      <c r="AB4" s="74">
        <f>AA4-AA53</f>
        <v>6492293.3700000001</v>
      </c>
    </row>
    <row r="5" spans="2:28" ht="21.95" customHeight="1" x14ac:dyDescent="0.25">
      <c r="B5" s="89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600000</v>
      </c>
      <c r="O5" s="70">
        <v>0</v>
      </c>
      <c r="P5" s="77">
        <v>568976.42000000004</v>
      </c>
      <c r="Q5" s="70">
        <v>39628000</v>
      </c>
      <c r="R5" s="77">
        <v>0</v>
      </c>
      <c r="S5" s="70">
        <f>37478000-436068.04</f>
        <v>37041931.960000001</v>
      </c>
      <c r="T5" s="70">
        <v>0</v>
      </c>
      <c r="U5" s="70"/>
      <c r="V5" s="77"/>
      <c r="W5" s="70">
        <v>0</v>
      </c>
      <c r="X5" s="61"/>
      <c r="Y5" s="66">
        <f>G5+H5+O5+P5+S5-W5-AA5</f>
        <v>37610908.380000003</v>
      </c>
      <c r="AA5" s="80"/>
    </row>
    <row r="6" spans="2:28" ht="21.95" customHeight="1" x14ac:dyDescent="0.25">
      <c r="B6" s="89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v>8379335.29</v>
      </c>
      <c r="N6" s="68">
        <v>14868972.41</v>
      </c>
      <c r="O6" s="61">
        <v>8376477.1500000004</v>
      </c>
      <c r="P6" s="68">
        <v>14842856.42</v>
      </c>
      <c r="Q6" s="61">
        <v>0</v>
      </c>
      <c r="R6" s="68">
        <v>0</v>
      </c>
      <c r="S6" s="61">
        <v>0</v>
      </c>
      <c r="T6" s="68"/>
      <c r="U6" s="61"/>
      <c r="V6" s="68"/>
      <c r="W6" s="73">
        <f>482034.34+13577339.54+17853646.64</f>
        <v>31913020.52</v>
      </c>
      <c r="X6" s="61">
        <v>21596821.210000001</v>
      </c>
      <c r="Y6" s="66">
        <f>G6+H6+O6+P6+S6-W6-AA6</f>
        <v>26914624.700000003</v>
      </c>
      <c r="AA6" s="80">
        <v>47883.44</v>
      </c>
      <c r="AB6" s="74">
        <f>AA6</f>
        <v>47883.44</v>
      </c>
    </row>
    <row r="7" spans="2:28" ht="21.95" customHeight="1" x14ac:dyDescent="0.25">
      <c r="B7" s="89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v>35600662.969999999</v>
      </c>
      <c r="N7" s="68">
        <v>11864818.4</v>
      </c>
      <c r="O7" s="61">
        <v>32444008.710000001</v>
      </c>
      <c r="P7" s="68">
        <v>11331437.5</v>
      </c>
      <c r="Q7" s="61">
        <v>0</v>
      </c>
      <c r="R7" s="68">
        <v>0</v>
      </c>
      <c r="S7" s="61">
        <v>0</v>
      </c>
      <c r="T7" s="68"/>
      <c r="U7" s="61"/>
      <c r="V7" s="68"/>
      <c r="W7" s="73">
        <f>1607900.13+15562369.42+32741481.3</f>
        <v>49911750.850000001</v>
      </c>
      <c r="X7" s="61">
        <v>11437392.17</v>
      </c>
      <c r="Y7" s="66">
        <f>G7+H7+O7+P7+S7-W7</f>
        <v>22471357.080000006</v>
      </c>
      <c r="AA7" s="80"/>
    </row>
    <row r="8" spans="2:28" ht="21.95" customHeight="1" x14ac:dyDescent="0.25">
      <c r="B8" s="89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v>45120906.130000003</v>
      </c>
      <c r="N8" s="68">
        <v>7033276.0300000003</v>
      </c>
      <c r="O8" s="61">
        <v>45077820.280000001</v>
      </c>
      <c r="P8" s="68">
        <v>5941980.6299999999</v>
      </c>
      <c r="Q8" s="61">
        <v>5039000</v>
      </c>
      <c r="R8" s="68">
        <v>0</v>
      </c>
      <c r="S8" s="61">
        <v>5039000</v>
      </c>
      <c r="T8" s="68"/>
      <c r="U8" s="61"/>
      <c r="V8" s="68"/>
      <c r="W8" s="73">
        <v>42134060.130000003</v>
      </c>
      <c r="X8" s="61"/>
      <c r="Y8" s="66">
        <f>O8+P8+S8-W8</f>
        <v>13924740.780000001</v>
      </c>
      <c r="AA8" s="80"/>
    </row>
    <row r="9" spans="2:28" ht="21.95" customHeight="1" x14ac:dyDescent="0.25">
      <c r="B9" s="89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v>57373794.880000003</v>
      </c>
      <c r="N9" s="68">
        <v>18064952.48</v>
      </c>
      <c r="O9" s="61">
        <v>56756959.280000001</v>
      </c>
      <c r="P9" s="68">
        <v>11219865.98</v>
      </c>
      <c r="Q9" s="61">
        <v>15709000</v>
      </c>
      <c r="R9" s="68">
        <v>0</v>
      </c>
      <c r="S9" s="61">
        <v>17859000</v>
      </c>
      <c r="T9" s="68"/>
      <c r="U9" s="61"/>
      <c r="V9" s="68"/>
      <c r="W9" s="73">
        <v>20018755.5</v>
      </c>
      <c r="X9" s="61"/>
      <c r="Y9" s="66">
        <f>O9+P9+S9-W9</f>
        <v>65817069.760000005</v>
      </c>
      <c r="AA9" s="80"/>
    </row>
    <row r="10" spans="2:28" ht="24.95" hidden="1" customHeight="1" x14ac:dyDescent="0.25">
      <c r="B10" s="90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/>
      <c r="P10" s="68"/>
      <c r="Q10" s="61"/>
      <c r="R10" s="68"/>
      <c r="S10" s="70"/>
      <c r="T10" s="70"/>
      <c r="U10" s="61"/>
      <c r="V10" s="68"/>
      <c r="W10" s="73">
        <f>3419803.93+4322181.33</f>
        <v>7741985.2599999998</v>
      </c>
      <c r="X10" s="61"/>
      <c r="Y10" s="66">
        <f t="shared" ref="Y10" si="0">M10+N10+S10-W10</f>
        <v>-7741985.2599999998</v>
      </c>
      <c r="AA10" s="80"/>
    </row>
    <row r="11" spans="2:28" ht="24.95" customHeight="1" x14ac:dyDescent="0.25">
      <c r="B11" s="88">
        <v>52</v>
      </c>
      <c r="C11" s="59">
        <v>100661</v>
      </c>
      <c r="D11" s="60" t="s">
        <v>85</v>
      </c>
      <c r="E11" s="70"/>
      <c r="F11" s="70"/>
      <c r="G11" s="70"/>
      <c r="H11" s="70"/>
      <c r="I11" s="61"/>
      <c r="J11" s="68"/>
      <c r="K11" s="61">
        <v>0</v>
      </c>
      <c r="L11" s="68">
        <v>0</v>
      </c>
      <c r="M11" s="70">
        <v>0</v>
      </c>
      <c r="N11" s="77">
        <v>0</v>
      </c>
      <c r="O11" s="61">
        <v>0</v>
      </c>
      <c r="P11" s="68">
        <v>0</v>
      </c>
      <c r="Q11" s="61">
        <v>6272000</v>
      </c>
      <c r="R11" s="68">
        <v>0</v>
      </c>
      <c r="S11" s="70">
        <v>6272000</v>
      </c>
      <c r="T11" s="77"/>
      <c r="U11" s="61"/>
      <c r="V11" s="68"/>
      <c r="W11" s="73">
        <v>0</v>
      </c>
      <c r="X11" s="61"/>
      <c r="Y11" s="66">
        <f>M11+N11+S11-W11</f>
        <v>6272000</v>
      </c>
      <c r="AA11" s="80"/>
    </row>
    <row r="12" spans="2:28" ht="31.5" x14ac:dyDescent="0.25">
      <c r="B12" s="89"/>
      <c r="C12" s="59">
        <v>100753</v>
      </c>
      <c r="D12" s="60" t="s">
        <v>58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3000000</v>
      </c>
      <c r="L12" s="68">
        <v>0</v>
      </c>
      <c r="M12" s="61">
        <v>3000000</v>
      </c>
      <c r="N12" s="68">
        <v>0</v>
      </c>
      <c r="O12" s="61">
        <v>3000000</v>
      </c>
      <c r="P12" s="68">
        <v>0</v>
      </c>
      <c r="Q12" s="61">
        <v>0</v>
      </c>
      <c r="R12" s="68">
        <v>0</v>
      </c>
      <c r="S12" s="61">
        <v>0</v>
      </c>
      <c r="T12" s="68"/>
      <c r="U12" s="61"/>
      <c r="V12" s="68"/>
      <c r="W12" s="73">
        <v>3000000</v>
      </c>
      <c r="X12" s="61"/>
      <c r="Y12" s="66">
        <f>O12+P12+S12-W12</f>
        <v>0</v>
      </c>
      <c r="AA12" s="80"/>
    </row>
    <row r="13" spans="2:28" ht="31.5" x14ac:dyDescent="0.25">
      <c r="B13" s="89"/>
      <c r="C13" s="59">
        <v>101315</v>
      </c>
      <c r="D13" s="60" t="s">
        <v>59</v>
      </c>
      <c r="E13" s="70">
        <v>0</v>
      </c>
      <c r="F13" s="70">
        <v>0</v>
      </c>
      <c r="G13" s="70">
        <v>0</v>
      </c>
      <c r="H13" s="70">
        <v>0</v>
      </c>
      <c r="I13" s="61">
        <v>0</v>
      </c>
      <c r="J13" s="68">
        <v>0</v>
      </c>
      <c r="K13" s="61">
        <v>6000000</v>
      </c>
      <c r="L13" s="68">
        <f>11954000+17000000</f>
        <v>28954000</v>
      </c>
      <c r="M13" s="61">
        <v>11050610.25</v>
      </c>
      <c r="N13" s="70">
        <v>25621885.649999999</v>
      </c>
      <c r="O13" s="61">
        <v>10886078.85</v>
      </c>
      <c r="P13" s="68">
        <v>21466608.370000001</v>
      </c>
      <c r="Q13" s="61">
        <v>4000000</v>
      </c>
      <c r="R13" s="68">
        <v>0</v>
      </c>
      <c r="S13" s="61">
        <v>100000</v>
      </c>
      <c r="T13" s="70"/>
      <c r="U13" s="61"/>
      <c r="V13" s="68"/>
      <c r="W13" s="73">
        <v>7959639.9100000001</v>
      </c>
      <c r="X13" s="61"/>
      <c r="Y13" s="66">
        <f>O13+P13+S13-W13</f>
        <v>24493047.309999999</v>
      </c>
      <c r="AA13" s="80"/>
    </row>
    <row r="14" spans="2:28" ht="24.95" customHeight="1" x14ac:dyDescent="0.25">
      <c r="B14" s="89"/>
      <c r="C14" s="59">
        <v>101351</v>
      </c>
      <c r="D14" s="60" t="s">
        <v>35</v>
      </c>
      <c r="E14" s="70">
        <f>3661000+207000</f>
        <v>3868000</v>
      </c>
      <c r="F14" s="70">
        <v>0</v>
      </c>
      <c r="G14" s="70">
        <f>3282258-26435.99-449396.79-48688.3-1243725.98</f>
        <v>1514010.94</v>
      </c>
      <c r="H14" s="70">
        <v>0</v>
      </c>
      <c r="I14" s="61">
        <v>1403169.29</v>
      </c>
      <c r="J14" s="68">
        <v>0</v>
      </c>
      <c r="K14" s="61">
        <v>0</v>
      </c>
      <c r="L14" s="68">
        <v>0</v>
      </c>
      <c r="M14" s="70">
        <v>110841.67</v>
      </c>
      <c r="N14" s="70">
        <v>0</v>
      </c>
      <c r="O14" s="61">
        <v>110841.67</v>
      </c>
      <c r="P14" s="68">
        <v>0</v>
      </c>
      <c r="Q14" s="61">
        <v>0</v>
      </c>
      <c r="R14" s="68">
        <v>0</v>
      </c>
      <c r="S14" s="70">
        <v>0</v>
      </c>
      <c r="T14" s="70"/>
      <c r="U14" s="61"/>
      <c r="V14" s="68"/>
      <c r="W14" s="73">
        <f>388494.18+1125516.78</f>
        <v>1514010.96</v>
      </c>
      <c r="X14" s="61">
        <v>1514010.94</v>
      </c>
      <c r="Y14" s="66">
        <f>G14+H14+O14+P14+S14-W14-AA14</f>
        <v>0</v>
      </c>
      <c r="AA14" s="80">
        <v>110841.65</v>
      </c>
      <c r="AB14" s="74">
        <f>AA14</f>
        <v>110841.65</v>
      </c>
    </row>
    <row r="15" spans="2:28" ht="31.5" x14ac:dyDescent="0.25">
      <c r="B15" s="89"/>
      <c r="C15" s="59">
        <v>101361</v>
      </c>
      <c r="D15" s="60" t="s">
        <v>86</v>
      </c>
      <c r="E15" s="70"/>
      <c r="F15" s="70"/>
      <c r="G15" s="70"/>
      <c r="H15" s="70"/>
      <c r="I15" s="61"/>
      <c r="J15" s="68"/>
      <c r="K15" s="61">
        <v>0</v>
      </c>
      <c r="L15" s="68">
        <v>0</v>
      </c>
      <c r="M15" s="70">
        <v>0</v>
      </c>
      <c r="N15" s="70">
        <v>0</v>
      </c>
      <c r="O15" s="61">
        <v>0</v>
      </c>
      <c r="P15" s="68">
        <v>0</v>
      </c>
      <c r="Q15" s="61">
        <v>3000000</v>
      </c>
      <c r="R15" s="68">
        <v>0</v>
      </c>
      <c r="S15" s="70">
        <v>0</v>
      </c>
      <c r="T15" s="70"/>
      <c r="U15" s="61"/>
      <c r="V15" s="68"/>
      <c r="W15" s="73">
        <v>0</v>
      </c>
      <c r="X15" s="61"/>
      <c r="Y15" s="66">
        <f>S15-W15</f>
        <v>0</v>
      </c>
      <c r="AA15" s="80"/>
      <c r="AB15" s="74"/>
    </row>
    <row r="16" spans="2:28" ht="31.5" x14ac:dyDescent="0.25">
      <c r="B16" s="89"/>
      <c r="C16" s="59">
        <v>101363</v>
      </c>
      <c r="D16" s="60" t="s">
        <v>87</v>
      </c>
      <c r="E16" s="70"/>
      <c r="F16" s="70"/>
      <c r="G16" s="70"/>
      <c r="H16" s="70"/>
      <c r="I16" s="61"/>
      <c r="J16" s="68"/>
      <c r="K16" s="61">
        <v>0</v>
      </c>
      <c r="L16" s="68">
        <v>0</v>
      </c>
      <c r="M16" s="70">
        <v>0</v>
      </c>
      <c r="N16" s="70">
        <v>0</v>
      </c>
      <c r="O16" s="61">
        <v>0</v>
      </c>
      <c r="P16" s="68">
        <v>0</v>
      </c>
      <c r="Q16" s="61">
        <v>3909000</v>
      </c>
      <c r="R16" s="68">
        <v>0</v>
      </c>
      <c r="S16" s="70">
        <v>3867038.29</v>
      </c>
      <c r="T16" s="70"/>
      <c r="U16" s="61"/>
      <c r="V16" s="68"/>
      <c r="W16" s="73">
        <v>0</v>
      </c>
      <c r="X16" s="61"/>
      <c r="Y16" s="66">
        <f>S16-W16</f>
        <v>3867038.29</v>
      </c>
      <c r="AA16" s="80"/>
      <c r="AB16" s="74"/>
    </row>
    <row r="17" spans="2:30" ht="31.5" customHeight="1" x14ac:dyDescent="0.25">
      <c r="B17" s="89"/>
      <c r="C17" s="59">
        <v>101419</v>
      </c>
      <c r="D17" s="60" t="s">
        <v>36</v>
      </c>
      <c r="E17" s="70">
        <f>1686000+92000</f>
        <v>1778000</v>
      </c>
      <c r="F17" s="70">
        <v>0</v>
      </c>
      <c r="G17" s="70">
        <f>1686000+92000-7769.12-134067.13-40277.19-804720.15</f>
        <v>791166.41</v>
      </c>
      <c r="H17" s="70">
        <v>0</v>
      </c>
      <c r="I17" s="61">
        <v>791166.41</v>
      </c>
      <c r="J17" s="68">
        <v>0</v>
      </c>
      <c r="K17" s="61">
        <v>0</v>
      </c>
      <c r="L17" s="68">
        <v>0</v>
      </c>
      <c r="M17" s="70">
        <v>0</v>
      </c>
      <c r="N17" s="70">
        <v>0</v>
      </c>
      <c r="O17" s="61">
        <v>0</v>
      </c>
      <c r="P17" s="68">
        <v>0</v>
      </c>
      <c r="Q17" s="61">
        <v>0</v>
      </c>
      <c r="R17" s="68">
        <v>0</v>
      </c>
      <c r="S17" s="70">
        <v>0</v>
      </c>
      <c r="T17" s="70"/>
      <c r="U17" s="61"/>
      <c r="V17" s="68"/>
      <c r="W17" s="73">
        <f>746106.42+45059.99</f>
        <v>791166.41</v>
      </c>
      <c r="X17" s="61">
        <v>791166.41</v>
      </c>
      <c r="Y17" s="66">
        <f>G17+H17+O17+P17+S17-W17</f>
        <v>0</v>
      </c>
      <c r="AA17" s="80"/>
    </row>
    <row r="18" spans="2:30" ht="33" customHeight="1" x14ac:dyDescent="0.25">
      <c r="B18" s="89"/>
      <c r="C18" s="59">
        <v>101420</v>
      </c>
      <c r="D18" s="60" t="s">
        <v>37</v>
      </c>
      <c r="E18" s="70">
        <f>5079000+291000</f>
        <v>5370000</v>
      </c>
      <c r="F18" s="70">
        <v>0</v>
      </c>
      <c r="G18" s="70">
        <f>5079000+291000-32623-554575-20000-400000-174750.31</f>
        <v>4188051.69</v>
      </c>
      <c r="H18" s="70">
        <v>0</v>
      </c>
      <c r="I18" s="61">
        <v>2146224.5099999998</v>
      </c>
      <c r="J18" s="68">
        <v>0</v>
      </c>
      <c r="K18" s="61">
        <v>0</v>
      </c>
      <c r="L18" s="68">
        <v>0</v>
      </c>
      <c r="M18" s="70">
        <v>643425.82999999996</v>
      </c>
      <c r="N18" s="70">
        <v>0</v>
      </c>
      <c r="O18" s="61">
        <v>643425.82999999996</v>
      </c>
      <c r="P18" s="68">
        <v>0</v>
      </c>
      <c r="Q18" s="61">
        <v>0</v>
      </c>
      <c r="R18" s="68">
        <v>0</v>
      </c>
      <c r="S18" s="70">
        <v>0</v>
      </c>
      <c r="T18" s="70"/>
      <c r="U18" s="61"/>
      <c r="V18" s="68"/>
      <c r="W18" s="73">
        <f>2340570.97+449079.37</f>
        <v>2789650.3400000003</v>
      </c>
      <c r="X18" s="61">
        <v>4188051.69</v>
      </c>
      <c r="Y18" s="66">
        <f>G18+H18+O18+P18+S18-W18-AA18</f>
        <v>0</v>
      </c>
      <c r="AA18" s="80">
        <v>2041827.18</v>
      </c>
      <c r="AB18" s="74">
        <f>AA18</f>
        <v>2041827.18</v>
      </c>
    </row>
    <row r="19" spans="2:30" ht="24.95" hidden="1" customHeight="1" x14ac:dyDescent="0.25">
      <c r="B19" s="89"/>
      <c r="C19" s="59">
        <v>101422</v>
      </c>
      <c r="D19" s="60" t="s">
        <v>38</v>
      </c>
      <c r="E19" s="70">
        <f>4175000+238000</f>
        <v>4413000</v>
      </c>
      <c r="F19" s="70">
        <v>0</v>
      </c>
      <c r="G19" s="70">
        <f>6322618-12547.82-213311-31548.59-536320-36074.56-460142.5</f>
        <v>5032673.53</v>
      </c>
      <c r="H19" s="70">
        <v>0</v>
      </c>
      <c r="I19" s="61">
        <v>4879548.51</v>
      </c>
      <c r="J19" s="68">
        <v>0</v>
      </c>
      <c r="K19" s="61">
        <v>0</v>
      </c>
      <c r="L19" s="68">
        <v>0</v>
      </c>
      <c r="M19" s="70">
        <v>0</v>
      </c>
      <c r="N19" s="70">
        <v>0</v>
      </c>
      <c r="O19" s="61">
        <v>0</v>
      </c>
      <c r="P19" s="68">
        <v>0</v>
      </c>
      <c r="Q19" s="61">
        <v>0</v>
      </c>
      <c r="R19" s="68">
        <v>0</v>
      </c>
      <c r="S19" s="70">
        <v>0</v>
      </c>
      <c r="T19" s="70"/>
      <c r="U19" s="61"/>
      <c r="V19" s="68"/>
      <c r="W19" s="73">
        <v>4879548.51</v>
      </c>
      <c r="X19" s="61">
        <v>5032673.53</v>
      </c>
      <c r="Y19" s="66">
        <f>G19+H19+M19+N19+S19-W19-AA19</f>
        <v>4.9476511776447296E-10</v>
      </c>
      <c r="AA19" s="80">
        <v>153125.01999999999</v>
      </c>
      <c r="AB19" s="74">
        <f>AA19</f>
        <v>153125.01999999999</v>
      </c>
    </row>
    <row r="20" spans="2:30" ht="32.25" hidden="1" customHeight="1" x14ac:dyDescent="0.25">
      <c r="B20" s="89"/>
      <c r="C20" s="59">
        <v>101423</v>
      </c>
      <c r="D20" s="60" t="s">
        <v>39</v>
      </c>
      <c r="E20" s="70">
        <f>5719000+328000</f>
        <v>6047000</v>
      </c>
      <c r="F20" s="70">
        <v>0</v>
      </c>
      <c r="G20" s="70">
        <f>7954229-429304.19</f>
        <v>7524924.8099999996</v>
      </c>
      <c r="H20" s="70">
        <v>0</v>
      </c>
      <c r="I20" s="61">
        <v>5107137.58</v>
      </c>
      <c r="J20" s="68">
        <v>0</v>
      </c>
      <c r="K20" s="61">
        <v>0</v>
      </c>
      <c r="L20" s="68">
        <v>0</v>
      </c>
      <c r="M20" s="70">
        <v>738116.19</v>
      </c>
      <c r="N20" s="70">
        <v>0</v>
      </c>
      <c r="O20" s="61">
        <v>738116.19</v>
      </c>
      <c r="P20" s="68">
        <v>0</v>
      </c>
      <c r="Q20" s="61">
        <v>0</v>
      </c>
      <c r="R20" s="68">
        <v>0</v>
      </c>
      <c r="S20" s="70">
        <v>0</v>
      </c>
      <c r="T20" s="70"/>
      <c r="U20" s="61"/>
      <c r="V20" s="68"/>
      <c r="W20" s="73">
        <v>5845253.7699999996</v>
      </c>
      <c r="X20" s="61">
        <v>7524924.8099999996</v>
      </c>
      <c r="Y20" s="66">
        <f>G20+H20+M20+N20+S20-W20-AA20</f>
        <v>0</v>
      </c>
      <c r="AA20" s="80">
        <v>2417787.23</v>
      </c>
      <c r="AB20" s="74">
        <f>AA20-AA54</f>
        <v>1679671.04</v>
      </c>
    </row>
    <row r="21" spans="2:30" ht="21.95" customHeight="1" x14ac:dyDescent="0.25">
      <c r="B21" s="89"/>
      <c r="C21" s="59">
        <v>101436</v>
      </c>
      <c r="D21" s="60" t="s">
        <v>60</v>
      </c>
      <c r="E21" s="70">
        <v>0</v>
      </c>
      <c r="F21" s="70">
        <v>0</v>
      </c>
      <c r="G21" s="70">
        <v>0</v>
      </c>
      <c r="H21" s="70">
        <v>0</v>
      </c>
      <c r="I21" s="61">
        <v>0</v>
      </c>
      <c r="J21" s="68">
        <v>0</v>
      </c>
      <c r="K21" s="61">
        <v>2562000</v>
      </c>
      <c r="L21" s="68">
        <f>3844000+7704000</f>
        <v>11548000</v>
      </c>
      <c r="M21" s="61">
        <v>2402215.09</v>
      </c>
      <c r="N21" s="68">
        <v>10276667.710000001</v>
      </c>
      <c r="O21" s="61">
        <v>2402215.09</v>
      </c>
      <c r="P21" s="68">
        <v>10276667.710000001</v>
      </c>
      <c r="Q21" s="61">
        <v>0</v>
      </c>
      <c r="R21" s="68">
        <v>0</v>
      </c>
      <c r="S21" s="61">
        <v>0</v>
      </c>
      <c r="T21" s="68"/>
      <c r="U21" s="61"/>
      <c r="V21" s="68"/>
      <c r="W21" s="73">
        <v>2402215.08</v>
      </c>
      <c r="X21" s="61"/>
      <c r="Y21" s="66">
        <f>O21+P21+S21-W21</f>
        <v>10276667.720000001</v>
      </c>
      <c r="AA21" s="80"/>
    </row>
    <row r="22" spans="2:30" ht="31.5" x14ac:dyDescent="0.25">
      <c r="B22" s="89"/>
      <c r="C22" s="59">
        <v>101445</v>
      </c>
      <c r="D22" s="60" t="s">
        <v>88</v>
      </c>
      <c r="E22" s="70"/>
      <c r="F22" s="70"/>
      <c r="G22" s="70"/>
      <c r="H22" s="70"/>
      <c r="I22" s="61"/>
      <c r="J22" s="68"/>
      <c r="K22" s="61">
        <v>0</v>
      </c>
      <c r="L22" s="68">
        <v>0</v>
      </c>
      <c r="M22" s="61">
        <v>0</v>
      </c>
      <c r="N22" s="68">
        <v>0</v>
      </c>
      <c r="O22" s="61">
        <v>0</v>
      </c>
      <c r="P22" s="68">
        <v>0</v>
      </c>
      <c r="Q22" s="61">
        <v>1725000</v>
      </c>
      <c r="R22" s="68">
        <v>0</v>
      </c>
      <c r="S22" s="61">
        <v>1725000</v>
      </c>
      <c r="T22" s="68"/>
      <c r="U22" s="61"/>
      <c r="V22" s="68"/>
      <c r="W22" s="73">
        <v>0</v>
      </c>
      <c r="X22" s="61"/>
      <c r="Y22" s="66">
        <f>S22-W22</f>
        <v>1725000</v>
      </c>
      <c r="AA22" s="80"/>
    </row>
    <row r="23" spans="2:30" ht="31.5" x14ac:dyDescent="0.25">
      <c r="B23" s="89"/>
      <c r="C23" s="59">
        <v>101451</v>
      </c>
      <c r="D23" s="60" t="s">
        <v>61</v>
      </c>
      <c r="E23" s="70">
        <v>0</v>
      </c>
      <c r="F23" s="70">
        <v>0</v>
      </c>
      <c r="G23" s="70">
        <v>0</v>
      </c>
      <c r="H23" s="70">
        <v>0</v>
      </c>
      <c r="I23" s="61">
        <v>0</v>
      </c>
      <c r="J23" s="68">
        <v>0</v>
      </c>
      <c r="K23" s="61">
        <v>2357000</v>
      </c>
      <c r="L23" s="68">
        <f>2569000+1040000</f>
        <v>3609000</v>
      </c>
      <c r="M23" s="61">
        <v>2234356.86</v>
      </c>
      <c r="N23" s="68">
        <v>3642487.57</v>
      </c>
      <c r="O23" s="61">
        <v>2232502.9</v>
      </c>
      <c r="P23" s="68">
        <v>3300679.92</v>
      </c>
      <c r="Q23" s="61">
        <v>1200000</v>
      </c>
      <c r="R23" s="68">
        <v>0</v>
      </c>
      <c r="S23" s="61">
        <v>1075500</v>
      </c>
      <c r="T23" s="68"/>
      <c r="U23" s="61"/>
      <c r="V23" s="68"/>
      <c r="W23" s="73">
        <v>2220079.5699999998</v>
      </c>
      <c r="X23" s="61"/>
      <c r="Y23" s="66">
        <f>O23+P23+S23-W23</f>
        <v>4388603.25</v>
      </c>
      <c r="AA23" s="80"/>
    </row>
    <row r="24" spans="2:30" ht="21.95" customHeight="1" x14ac:dyDescent="0.25">
      <c r="B24" s="89"/>
      <c r="C24" s="59">
        <v>101480</v>
      </c>
      <c r="D24" s="60" t="s">
        <v>62</v>
      </c>
      <c r="E24" s="70">
        <v>0</v>
      </c>
      <c r="F24" s="70">
        <v>0</v>
      </c>
      <c r="G24" s="70">
        <v>0</v>
      </c>
      <c r="H24" s="70">
        <v>0</v>
      </c>
      <c r="I24" s="61">
        <v>0</v>
      </c>
      <c r="J24" s="68">
        <v>0</v>
      </c>
      <c r="K24" s="61">
        <v>0</v>
      </c>
      <c r="L24" s="68">
        <v>1166000</v>
      </c>
      <c r="M24" s="61">
        <v>431327.99</v>
      </c>
      <c r="N24" s="68">
        <v>536448.88</v>
      </c>
      <c r="O24" s="61">
        <v>431327.99</v>
      </c>
      <c r="P24" s="68">
        <v>536448.88</v>
      </c>
      <c r="Q24" s="61">
        <v>0</v>
      </c>
      <c r="R24" s="68">
        <v>0</v>
      </c>
      <c r="S24" s="61">
        <v>0</v>
      </c>
      <c r="T24" s="68"/>
      <c r="U24" s="61"/>
      <c r="V24" s="68"/>
      <c r="W24" s="73">
        <v>431327.99</v>
      </c>
      <c r="X24" s="61"/>
      <c r="Y24" s="66">
        <f>O24+P24+S24-W24</f>
        <v>536448.88</v>
      </c>
      <c r="AA24" s="80"/>
    </row>
    <row r="25" spans="2:30" ht="21.95" customHeight="1" x14ac:dyDescent="0.25">
      <c r="B25" s="89"/>
      <c r="C25" s="59">
        <v>101486</v>
      </c>
      <c r="D25" s="60" t="s">
        <v>79</v>
      </c>
      <c r="E25" s="70"/>
      <c r="F25" s="70"/>
      <c r="G25" s="70"/>
      <c r="H25" s="70"/>
      <c r="I25" s="61"/>
      <c r="J25" s="68"/>
      <c r="K25" s="61">
        <v>0</v>
      </c>
      <c r="L25" s="68">
        <v>0</v>
      </c>
      <c r="M25" s="70">
        <v>1080000</v>
      </c>
      <c r="N25" s="77">
        <v>0</v>
      </c>
      <c r="O25" s="61">
        <v>994676.66</v>
      </c>
      <c r="P25" s="68">
        <v>0</v>
      </c>
      <c r="Q25" s="61">
        <v>39000</v>
      </c>
      <c r="R25" s="68">
        <v>0</v>
      </c>
      <c r="S25" s="70">
        <v>21933.85</v>
      </c>
      <c r="T25" s="77"/>
      <c r="U25" s="61"/>
      <c r="V25" s="68"/>
      <c r="W25" s="73">
        <v>0</v>
      </c>
      <c r="X25" s="61"/>
      <c r="Y25" s="66">
        <f>O25+P25+S25-W25</f>
        <v>1016610.51</v>
      </c>
      <c r="AA25" s="80"/>
    </row>
    <row r="26" spans="2:30" ht="21.95" customHeight="1" x14ac:dyDescent="0.25">
      <c r="B26" s="89"/>
      <c r="C26" s="59">
        <v>101487</v>
      </c>
      <c r="D26" s="60" t="s">
        <v>89</v>
      </c>
      <c r="E26" s="70"/>
      <c r="F26" s="70"/>
      <c r="G26" s="70"/>
      <c r="H26" s="70"/>
      <c r="I26" s="61"/>
      <c r="J26" s="68"/>
      <c r="K26" s="61">
        <v>0</v>
      </c>
      <c r="L26" s="68">
        <v>0</v>
      </c>
      <c r="M26" s="70">
        <v>0</v>
      </c>
      <c r="N26" s="77">
        <v>0</v>
      </c>
      <c r="O26" s="61">
        <v>0</v>
      </c>
      <c r="P26" s="68">
        <v>0</v>
      </c>
      <c r="Q26" s="61">
        <v>2076000</v>
      </c>
      <c r="R26" s="68">
        <v>0</v>
      </c>
      <c r="S26" s="70">
        <v>2167599.52</v>
      </c>
      <c r="T26" s="77"/>
      <c r="U26" s="61"/>
      <c r="V26" s="68"/>
      <c r="W26" s="73">
        <v>0</v>
      </c>
      <c r="X26" s="61"/>
      <c r="Y26" s="66">
        <f>S26-W26</f>
        <v>2167599.52</v>
      </c>
      <c r="AA26" s="80"/>
    </row>
    <row r="27" spans="2:30" ht="21.95" customHeight="1" x14ac:dyDescent="0.25">
      <c r="B27" s="89"/>
      <c r="C27" s="59">
        <v>101490</v>
      </c>
      <c r="D27" s="60" t="s">
        <v>90</v>
      </c>
      <c r="E27" s="70"/>
      <c r="F27" s="70"/>
      <c r="G27" s="70"/>
      <c r="H27" s="70"/>
      <c r="I27" s="61"/>
      <c r="J27" s="68"/>
      <c r="K27" s="61">
        <v>0</v>
      </c>
      <c r="L27" s="68">
        <v>0</v>
      </c>
      <c r="M27" s="70">
        <v>0</v>
      </c>
      <c r="N27" s="77">
        <v>0</v>
      </c>
      <c r="O27" s="61">
        <v>0</v>
      </c>
      <c r="P27" s="68">
        <v>0</v>
      </c>
      <c r="Q27" s="61">
        <v>982000</v>
      </c>
      <c r="R27" s="68">
        <v>0</v>
      </c>
      <c r="S27" s="70">
        <v>982000</v>
      </c>
      <c r="T27" s="77"/>
      <c r="U27" s="61"/>
      <c r="V27" s="68"/>
      <c r="W27" s="73">
        <v>0</v>
      </c>
      <c r="X27" s="61"/>
      <c r="Y27" s="66">
        <f>S27-W27</f>
        <v>982000</v>
      </c>
      <c r="AA27" s="80"/>
    </row>
    <row r="28" spans="2:30" ht="21.95" customHeight="1" x14ac:dyDescent="0.25">
      <c r="B28" s="89"/>
      <c r="C28" s="59">
        <v>101494</v>
      </c>
      <c r="D28" s="60" t="s">
        <v>80</v>
      </c>
      <c r="E28" s="70"/>
      <c r="F28" s="70"/>
      <c r="G28" s="70"/>
      <c r="H28" s="70"/>
      <c r="I28" s="61"/>
      <c r="J28" s="68"/>
      <c r="K28" s="61">
        <v>0</v>
      </c>
      <c r="L28" s="68">
        <v>0</v>
      </c>
      <c r="M28" s="70">
        <v>1037500</v>
      </c>
      <c r="N28" s="77">
        <v>0</v>
      </c>
      <c r="O28" s="61">
        <v>1005141.76</v>
      </c>
      <c r="P28" s="68">
        <v>0</v>
      </c>
      <c r="Q28" s="61">
        <v>0</v>
      </c>
      <c r="R28" s="68">
        <v>0</v>
      </c>
      <c r="S28" s="70">
        <v>1928.34</v>
      </c>
      <c r="T28" s="77"/>
      <c r="U28" s="61"/>
      <c r="V28" s="68"/>
      <c r="W28" s="73">
        <v>0</v>
      </c>
      <c r="X28" s="61"/>
      <c r="Y28" s="66">
        <f>O28+P28+S28-W28</f>
        <v>1007070.1</v>
      </c>
      <c r="AA28" s="80"/>
    </row>
    <row r="29" spans="2:30" ht="33.75" hidden="1" customHeight="1" x14ac:dyDescent="0.25">
      <c r="B29" s="89"/>
      <c r="C29" s="59">
        <v>101137</v>
      </c>
      <c r="D29" s="60" t="s">
        <v>40</v>
      </c>
      <c r="E29" s="70">
        <f>11137000+655000</f>
        <v>11792000</v>
      </c>
      <c r="F29" s="70">
        <v>0</v>
      </c>
      <c r="G29" s="70">
        <v>12396054.5</v>
      </c>
      <c r="H29" s="70">
        <v>0</v>
      </c>
      <c r="I29" s="61">
        <v>12338318.02</v>
      </c>
      <c r="J29" s="68">
        <v>0</v>
      </c>
      <c r="K29" s="61">
        <v>0</v>
      </c>
      <c r="L29" s="68">
        <v>0</v>
      </c>
      <c r="M29" s="70">
        <v>0</v>
      </c>
      <c r="N29" s="70">
        <v>0</v>
      </c>
      <c r="O29" s="61"/>
      <c r="P29" s="68"/>
      <c r="Q29" s="61"/>
      <c r="R29" s="68"/>
      <c r="S29" s="70"/>
      <c r="T29" s="70"/>
      <c r="U29" s="61"/>
      <c r="V29" s="68"/>
      <c r="W29" s="73">
        <v>12338318.02</v>
      </c>
      <c r="X29" s="61">
        <v>12396054.5</v>
      </c>
      <c r="Y29" s="66">
        <f>G29+H29+M29+N29-W29-AA29</f>
        <v>4.4383341446518898E-10</v>
      </c>
      <c r="AA29" s="80">
        <v>57736.480000000003</v>
      </c>
      <c r="AB29" s="74">
        <f>AA29</f>
        <v>57736.480000000003</v>
      </c>
      <c r="AD29" s="74"/>
    </row>
    <row r="30" spans="2:30" ht="31.5" x14ac:dyDescent="0.25">
      <c r="B30" s="89"/>
      <c r="C30" s="59">
        <v>101181</v>
      </c>
      <c r="D30" s="60" t="s">
        <v>41</v>
      </c>
      <c r="E30" s="70">
        <f>3167000+392000</f>
        <v>3559000</v>
      </c>
      <c r="F30" s="70">
        <v>0</v>
      </c>
      <c r="G30" s="70">
        <f>3167000+392000-392000-3167000</f>
        <v>0</v>
      </c>
      <c r="H30" s="70">
        <v>0</v>
      </c>
      <c r="I30" s="61">
        <v>0</v>
      </c>
      <c r="J30" s="68">
        <v>0</v>
      </c>
      <c r="K30" s="61">
        <v>14000000</v>
      </c>
      <c r="L30" s="68">
        <v>0</v>
      </c>
      <c r="M30" s="70">
        <v>8101824.5499999998</v>
      </c>
      <c r="N30" s="70">
        <v>0</v>
      </c>
      <c r="O30" s="61">
        <v>4648675.9400000004</v>
      </c>
      <c r="P30" s="68">
        <v>0</v>
      </c>
      <c r="Q30" s="61">
        <v>8661000</v>
      </c>
      <c r="R30" s="68">
        <v>0</v>
      </c>
      <c r="S30" s="70">
        <v>15651000</v>
      </c>
      <c r="T30" s="70"/>
      <c r="U30" s="61"/>
      <c r="V30" s="68"/>
      <c r="W30" s="73">
        <v>0</v>
      </c>
      <c r="X30" s="61"/>
      <c r="Y30" s="66">
        <f>G30+H30+O30+P30+S30-W30</f>
        <v>20299675.940000001</v>
      </c>
      <c r="AA30" s="80"/>
      <c r="AB30" s="74"/>
    </row>
    <row r="31" spans="2:30" ht="21.95" customHeight="1" x14ac:dyDescent="0.25">
      <c r="B31" s="89"/>
      <c r="C31" s="59">
        <v>101201</v>
      </c>
      <c r="D31" s="60" t="s">
        <v>63</v>
      </c>
      <c r="E31" s="70">
        <v>0</v>
      </c>
      <c r="F31" s="70">
        <v>0</v>
      </c>
      <c r="G31" s="70">
        <v>0</v>
      </c>
      <c r="H31" s="70">
        <v>0</v>
      </c>
      <c r="I31" s="61">
        <v>0</v>
      </c>
      <c r="J31" s="68">
        <v>0</v>
      </c>
      <c r="K31" s="61">
        <v>3000000</v>
      </c>
      <c r="L31" s="68">
        <v>0</v>
      </c>
      <c r="M31" s="61">
        <v>3000000</v>
      </c>
      <c r="N31" s="68">
        <v>0</v>
      </c>
      <c r="O31" s="61">
        <v>3000000</v>
      </c>
      <c r="P31" s="68">
        <v>0</v>
      </c>
      <c r="Q31" s="61">
        <v>0</v>
      </c>
      <c r="R31" s="68">
        <v>0</v>
      </c>
      <c r="S31" s="61">
        <v>0</v>
      </c>
      <c r="T31" s="68"/>
      <c r="U31" s="61"/>
      <c r="V31" s="68"/>
      <c r="W31" s="73">
        <v>3000000</v>
      </c>
      <c r="X31" s="61"/>
      <c r="Y31" s="66">
        <f>O31+P31+S31-W31</f>
        <v>0</v>
      </c>
      <c r="AA31" s="80"/>
      <c r="AB31" s="74"/>
    </row>
    <row r="32" spans="2:30" ht="31.15" hidden="1" customHeight="1" x14ac:dyDescent="0.25">
      <c r="B32" s="89"/>
      <c r="C32" s="59">
        <v>101247</v>
      </c>
      <c r="D32" s="60" t="s">
        <v>42</v>
      </c>
      <c r="E32" s="70">
        <f>1626000+97000</f>
        <v>1723000</v>
      </c>
      <c r="F32" s="70">
        <v>0</v>
      </c>
      <c r="G32" s="70">
        <f>0</f>
        <v>0</v>
      </c>
      <c r="H32" s="70">
        <v>0</v>
      </c>
      <c r="I32" s="61">
        <v>0</v>
      </c>
      <c r="J32" s="68">
        <v>0</v>
      </c>
      <c r="K32" s="61">
        <v>0</v>
      </c>
      <c r="L32" s="68">
        <v>0</v>
      </c>
      <c r="M32" s="70">
        <v>0</v>
      </c>
      <c r="N32" s="70">
        <v>0</v>
      </c>
      <c r="O32" s="61"/>
      <c r="P32" s="68"/>
      <c r="Q32" s="61"/>
      <c r="R32" s="68"/>
      <c r="S32" s="70"/>
      <c r="T32" s="70"/>
      <c r="U32" s="61"/>
      <c r="V32" s="68"/>
      <c r="W32" s="73">
        <v>0</v>
      </c>
      <c r="X32" s="61"/>
      <c r="Y32" s="66">
        <f>G32+H32-W32</f>
        <v>0</v>
      </c>
      <c r="AA32" s="80"/>
      <c r="AB32" s="74"/>
    </row>
    <row r="33" spans="2:30" ht="31.5" hidden="1" customHeight="1" x14ac:dyDescent="0.25">
      <c r="B33" s="89"/>
      <c r="C33" s="59">
        <v>101327</v>
      </c>
      <c r="D33" s="60" t="s">
        <v>77</v>
      </c>
      <c r="E33" s="70">
        <v>0</v>
      </c>
      <c r="F33" s="70">
        <v>0</v>
      </c>
      <c r="G33" s="70">
        <v>0</v>
      </c>
      <c r="H33" s="70">
        <v>0</v>
      </c>
      <c r="I33" s="61">
        <v>0</v>
      </c>
      <c r="J33" s="68">
        <v>0</v>
      </c>
      <c r="K33" s="61">
        <v>0</v>
      </c>
      <c r="L33" s="68">
        <v>0</v>
      </c>
      <c r="M33" s="70">
        <v>11413754.65</v>
      </c>
      <c r="N33" s="70">
        <v>0</v>
      </c>
      <c r="O33" s="61">
        <v>11413754.65</v>
      </c>
      <c r="P33" s="68">
        <v>0</v>
      </c>
      <c r="Q33" s="61">
        <v>0</v>
      </c>
      <c r="R33" s="68">
        <v>0</v>
      </c>
      <c r="S33" s="70">
        <v>0</v>
      </c>
      <c r="T33" s="70"/>
      <c r="U33" s="61"/>
      <c r="V33" s="68"/>
      <c r="W33" s="73">
        <f>10427728.8+986025.85</f>
        <v>11413754.65</v>
      </c>
      <c r="X33" s="61"/>
      <c r="Y33" s="66">
        <f>M33+N33+S33-W33</f>
        <v>0</v>
      </c>
      <c r="AA33" s="80"/>
      <c r="AB33" s="74"/>
    </row>
    <row r="34" spans="2:30" ht="31.5" x14ac:dyDescent="0.25">
      <c r="B34" s="89"/>
      <c r="C34" s="59">
        <v>101342</v>
      </c>
      <c r="D34" s="60" t="s">
        <v>43</v>
      </c>
      <c r="E34" s="70">
        <f>16009000+1465000</f>
        <v>17474000</v>
      </c>
      <c r="F34" s="70">
        <v>0</v>
      </c>
      <c r="G34" s="70">
        <f>14242895-1710531.2</f>
        <v>12532363.800000001</v>
      </c>
      <c r="H34" s="70">
        <v>0</v>
      </c>
      <c r="I34" s="61">
        <v>10359094.52</v>
      </c>
      <c r="J34" s="68">
        <v>0</v>
      </c>
      <c r="K34" s="61">
        <v>12234000</v>
      </c>
      <c r="L34" s="68">
        <v>0</v>
      </c>
      <c r="M34" s="61">
        <v>9722783.3599999994</v>
      </c>
      <c r="N34" s="68">
        <v>0</v>
      </c>
      <c r="O34" s="61">
        <v>9722783.3599999994</v>
      </c>
      <c r="P34" s="68">
        <v>0</v>
      </c>
      <c r="Q34" s="61">
        <v>0</v>
      </c>
      <c r="R34" s="68">
        <v>0</v>
      </c>
      <c r="S34" s="61">
        <v>0</v>
      </c>
      <c r="T34" s="68"/>
      <c r="U34" s="61"/>
      <c r="V34" s="68"/>
      <c r="W34" s="73">
        <v>21424770.690000001</v>
      </c>
      <c r="X34" s="61">
        <v>12532363.800000001</v>
      </c>
      <c r="Y34" s="66">
        <f>G34+H34+M34+N34+S34-W34-AB34</f>
        <v>-1.1641532182693481E-9</v>
      </c>
      <c r="AA34" s="80">
        <v>2173269.2799999998</v>
      </c>
      <c r="AB34" s="74">
        <v>830376.47</v>
      </c>
      <c r="AC34" s="74">
        <f>SUM(AB4:AB34)</f>
        <v>11413754.65</v>
      </c>
      <c r="AD34" s="74">
        <f>AA34-AB34</f>
        <v>1342892.8099999998</v>
      </c>
    </row>
    <row r="35" spans="2:30" ht="31.15" hidden="1" customHeight="1" x14ac:dyDescent="0.25">
      <c r="B35" s="89"/>
      <c r="C35" s="59">
        <v>101343</v>
      </c>
      <c r="D35" s="60" t="s">
        <v>64</v>
      </c>
      <c r="E35" s="70">
        <v>0</v>
      </c>
      <c r="F35" s="70">
        <v>0</v>
      </c>
      <c r="G35" s="70">
        <v>0</v>
      </c>
      <c r="H35" s="70">
        <v>0</v>
      </c>
      <c r="I35" s="61">
        <v>0</v>
      </c>
      <c r="J35" s="68">
        <v>0</v>
      </c>
      <c r="K35" s="61">
        <v>0</v>
      </c>
      <c r="L35" s="68">
        <v>1324000</v>
      </c>
      <c r="M35" s="61">
        <v>0</v>
      </c>
      <c r="N35" s="68">
        <v>0</v>
      </c>
      <c r="O35" s="61"/>
      <c r="P35" s="61"/>
      <c r="Q35" s="61"/>
      <c r="R35" s="68"/>
      <c r="S35" s="61"/>
      <c r="T35" s="68"/>
      <c r="U35" s="61"/>
      <c r="V35" s="61"/>
      <c r="W35" s="73">
        <v>0</v>
      </c>
      <c r="X35" s="61"/>
      <c r="Y35" s="66">
        <f>M35+N35-W35</f>
        <v>0</v>
      </c>
      <c r="AA35" s="80"/>
      <c r="AB35" s="74"/>
    </row>
    <row r="36" spans="2:30" ht="31.5" x14ac:dyDescent="0.25">
      <c r="B36" s="89"/>
      <c r="C36" s="59">
        <v>101348</v>
      </c>
      <c r="D36" s="60" t="s">
        <v>65</v>
      </c>
      <c r="E36" s="70">
        <v>0</v>
      </c>
      <c r="F36" s="70">
        <v>0</v>
      </c>
      <c r="G36" s="70">
        <v>0</v>
      </c>
      <c r="H36" s="70">
        <v>0</v>
      </c>
      <c r="I36" s="61">
        <v>0</v>
      </c>
      <c r="J36" s="68">
        <v>0</v>
      </c>
      <c r="K36" s="61">
        <v>7237000</v>
      </c>
      <c r="L36" s="68">
        <v>0</v>
      </c>
      <c r="M36" s="61">
        <v>9077198.3000000007</v>
      </c>
      <c r="N36" s="68">
        <v>0</v>
      </c>
      <c r="O36" s="61">
        <v>8739432.0999999996</v>
      </c>
      <c r="P36" s="61">
        <v>0</v>
      </c>
      <c r="Q36" s="61">
        <v>22694000</v>
      </c>
      <c r="R36" s="68">
        <v>0</v>
      </c>
      <c r="S36" s="61">
        <v>21644000</v>
      </c>
      <c r="T36" s="68"/>
      <c r="U36" s="61"/>
      <c r="V36" s="61"/>
      <c r="W36" s="73">
        <v>9247773.0199999996</v>
      </c>
      <c r="X36" s="61"/>
      <c r="Y36" s="66">
        <f>O36+P36+S36-W36</f>
        <v>21135659.080000002</v>
      </c>
      <c r="AA36" s="80"/>
      <c r="AB36" s="74"/>
    </row>
    <row r="37" spans="2:30" ht="21.95" customHeight="1" x14ac:dyDescent="0.25">
      <c r="B37" s="89"/>
      <c r="C37" s="59">
        <v>101185</v>
      </c>
      <c r="D37" s="60" t="s">
        <v>66</v>
      </c>
      <c r="E37" s="70">
        <v>0</v>
      </c>
      <c r="F37" s="70">
        <v>0</v>
      </c>
      <c r="G37" s="70">
        <v>0</v>
      </c>
      <c r="H37" s="70">
        <v>0</v>
      </c>
      <c r="I37" s="61">
        <v>0</v>
      </c>
      <c r="J37" s="68">
        <v>0</v>
      </c>
      <c r="K37" s="61">
        <v>6202000</v>
      </c>
      <c r="L37" s="68">
        <v>0</v>
      </c>
      <c r="M37" s="61">
        <v>6046000</v>
      </c>
      <c r="N37" s="68">
        <v>0</v>
      </c>
      <c r="O37" s="61">
        <v>151938.13</v>
      </c>
      <c r="P37" s="61">
        <v>0</v>
      </c>
      <c r="Q37" s="61">
        <v>18605000</v>
      </c>
      <c r="R37" s="68">
        <v>0</v>
      </c>
      <c r="S37" s="61">
        <v>24655000</v>
      </c>
      <c r="T37" s="68"/>
      <c r="U37" s="61"/>
      <c r="V37" s="61"/>
      <c r="W37" s="73">
        <v>0</v>
      </c>
      <c r="X37" s="61"/>
      <c r="Y37" s="66">
        <f>O37+P37+S37-W37</f>
        <v>24806938.129999999</v>
      </c>
      <c r="AA37" s="80"/>
      <c r="AB37" s="74"/>
    </row>
    <row r="38" spans="2:30" ht="21.95" customHeight="1" x14ac:dyDescent="0.25">
      <c r="B38" s="89"/>
      <c r="C38" s="59">
        <v>101187</v>
      </c>
      <c r="D38" s="60" t="s">
        <v>44</v>
      </c>
      <c r="E38" s="70">
        <f>968000+59000</f>
        <v>1027000</v>
      </c>
      <c r="F38" s="70">
        <v>0</v>
      </c>
      <c r="G38" s="70">
        <f>968000+59000</f>
        <v>1027000</v>
      </c>
      <c r="H38" s="70">
        <v>0</v>
      </c>
      <c r="I38" s="61">
        <v>752318.7</v>
      </c>
      <c r="J38" s="68">
        <v>0</v>
      </c>
      <c r="K38" s="61">
        <v>0</v>
      </c>
      <c r="L38" s="68">
        <v>0</v>
      </c>
      <c r="M38" s="70">
        <v>45896.4</v>
      </c>
      <c r="N38" s="70">
        <v>0</v>
      </c>
      <c r="O38" s="61">
        <v>45896.4</v>
      </c>
      <c r="P38" s="61">
        <v>0</v>
      </c>
      <c r="Q38" s="61">
        <v>0</v>
      </c>
      <c r="R38" s="68">
        <v>0</v>
      </c>
      <c r="S38" s="70">
        <v>0</v>
      </c>
      <c r="T38" s="70"/>
      <c r="U38" s="61"/>
      <c r="V38" s="61"/>
      <c r="W38" s="73">
        <v>787286.69</v>
      </c>
      <c r="X38" s="61">
        <v>1027000</v>
      </c>
      <c r="Y38" s="66">
        <f>G38+H38+O38+P38+S38-W38</f>
        <v>285609.70999999996</v>
      </c>
      <c r="AA38" s="80">
        <v>274681.3</v>
      </c>
      <c r="AB38" s="74"/>
      <c r="AD38" s="74">
        <f>AA38</f>
        <v>274681.3</v>
      </c>
    </row>
    <row r="39" spans="2:30" ht="21.95" customHeight="1" x14ac:dyDescent="0.25">
      <c r="B39" s="89"/>
      <c r="C39" s="59">
        <v>101242</v>
      </c>
      <c r="D39" s="60" t="s">
        <v>45</v>
      </c>
      <c r="E39" s="70">
        <f>21250000+1250000</f>
        <v>22500000</v>
      </c>
      <c r="F39" s="70">
        <v>0</v>
      </c>
      <c r="G39" s="70">
        <v>19864085.649999999</v>
      </c>
      <c r="H39" s="70">
        <v>0</v>
      </c>
      <c r="I39" s="61">
        <v>19864085.649999999</v>
      </c>
      <c r="J39" s="68">
        <v>0</v>
      </c>
      <c r="K39" s="61">
        <v>30715000</v>
      </c>
      <c r="L39" s="68">
        <v>0</v>
      </c>
      <c r="M39" s="70">
        <v>47193307.5</v>
      </c>
      <c r="N39" s="70">
        <v>0</v>
      </c>
      <c r="O39" s="61">
        <v>47186951.600000001</v>
      </c>
      <c r="P39" s="61">
        <v>0</v>
      </c>
      <c r="Q39" s="61">
        <v>8778000</v>
      </c>
      <c r="R39" s="68">
        <v>0</v>
      </c>
      <c r="S39" s="70">
        <v>3778000</v>
      </c>
      <c r="T39" s="70"/>
      <c r="U39" s="61"/>
      <c r="V39" s="61"/>
      <c r="W39" s="73">
        <f>5902785.7+6842535.32+18629153.64+15145723.26</f>
        <v>46520197.920000002</v>
      </c>
      <c r="X39" s="61">
        <v>13961299.949999999</v>
      </c>
      <c r="Y39" s="66">
        <f>I39+J39+O39+P39+S39-W39</f>
        <v>24308839.329999998</v>
      </c>
      <c r="AA39" s="80"/>
      <c r="AB39" s="74"/>
    </row>
    <row r="40" spans="2:30" ht="24.95" hidden="1" customHeight="1" x14ac:dyDescent="0.25">
      <c r="B40" s="90"/>
      <c r="C40" s="59">
        <v>101093</v>
      </c>
      <c r="D40" s="60" t="s">
        <v>46</v>
      </c>
      <c r="E40" s="61">
        <f>10000000</f>
        <v>10000000</v>
      </c>
      <c r="F40" s="61">
        <v>0</v>
      </c>
      <c r="G40" s="61">
        <f>10000000</f>
        <v>10000000</v>
      </c>
      <c r="H40" s="61">
        <v>0</v>
      </c>
      <c r="I40" s="61">
        <v>10000000</v>
      </c>
      <c r="J40" s="68">
        <v>0</v>
      </c>
      <c r="K40" s="61">
        <v>0</v>
      </c>
      <c r="L40" s="68">
        <v>0</v>
      </c>
      <c r="M40" s="61">
        <v>0</v>
      </c>
      <c r="N40" s="61">
        <v>0</v>
      </c>
      <c r="O40" s="61"/>
      <c r="P40" s="61"/>
      <c r="Q40" s="61"/>
      <c r="R40" s="68"/>
      <c r="S40" s="61"/>
      <c r="T40" s="61"/>
      <c r="U40" s="61"/>
      <c r="V40" s="61"/>
      <c r="W40" s="73">
        <v>10000000</v>
      </c>
      <c r="X40" s="61"/>
      <c r="Y40" s="66">
        <f>G40+H40+K40+L40-W40</f>
        <v>0</v>
      </c>
      <c r="AA40" s="80"/>
      <c r="AB40" s="74"/>
    </row>
    <row r="41" spans="2:30" ht="24.95" customHeight="1" x14ac:dyDescent="0.25">
      <c r="B41" s="83"/>
      <c r="C41" s="62">
        <v>101501</v>
      </c>
      <c r="D41" s="63" t="s">
        <v>91</v>
      </c>
      <c r="E41" s="71"/>
      <c r="F41" s="71"/>
      <c r="G41" s="71"/>
      <c r="H41" s="71"/>
      <c r="I41" s="71">
        <v>0</v>
      </c>
      <c r="J41" s="69">
        <v>0</v>
      </c>
      <c r="K41" s="71">
        <v>0</v>
      </c>
      <c r="L41" s="69">
        <v>0</v>
      </c>
      <c r="M41" s="71">
        <v>0</v>
      </c>
      <c r="N41" s="71">
        <v>0</v>
      </c>
      <c r="O41" s="61">
        <v>0</v>
      </c>
      <c r="P41" s="61">
        <v>0</v>
      </c>
      <c r="Q41" s="71">
        <v>24793000</v>
      </c>
      <c r="R41" s="69">
        <v>0</v>
      </c>
      <c r="S41" s="71">
        <v>24793000</v>
      </c>
      <c r="T41" s="71"/>
      <c r="U41" s="61"/>
      <c r="V41" s="61"/>
      <c r="W41" s="73">
        <v>0</v>
      </c>
      <c r="X41" s="61"/>
      <c r="Y41" s="66">
        <f>S41-W41</f>
        <v>24793000</v>
      </c>
      <c r="AA41" s="80"/>
      <c r="AB41" s="74"/>
    </row>
    <row r="42" spans="2:30" ht="24.95" customHeight="1" x14ac:dyDescent="0.25">
      <c r="B42" s="83"/>
      <c r="C42" s="62">
        <v>101550</v>
      </c>
      <c r="D42" s="63" t="s">
        <v>92</v>
      </c>
      <c r="E42" s="71"/>
      <c r="F42" s="71"/>
      <c r="G42" s="71"/>
      <c r="H42" s="71"/>
      <c r="I42" s="71">
        <v>0</v>
      </c>
      <c r="J42" s="69">
        <v>0</v>
      </c>
      <c r="K42" s="71">
        <v>0</v>
      </c>
      <c r="L42" s="69">
        <v>0</v>
      </c>
      <c r="M42" s="71">
        <v>0</v>
      </c>
      <c r="N42" s="71">
        <v>0</v>
      </c>
      <c r="O42" s="61">
        <v>0</v>
      </c>
      <c r="P42" s="61">
        <v>0</v>
      </c>
      <c r="Q42" s="71">
        <v>80000000</v>
      </c>
      <c r="R42" s="69">
        <v>0</v>
      </c>
      <c r="S42" s="71">
        <v>80000000</v>
      </c>
      <c r="T42" s="71"/>
      <c r="U42" s="61"/>
      <c r="V42" s="61"/>
      <c r="W42" s="73">
        <v>0</v>
      </c>
      <c r="X42" s="61"/>
      <c r="Y42" s="66">
        <f>S42-W42</f>
        <v>80000000</v>
      </c>
      <c r="AA42" s="80"/>
      <c r="AB42" s="74"/>
    </row>
    <row r="43" spans="2:30" ht="21.95" customHeight="1" x14ac:dyDescent="0.25">
      <c r="B43" s="118">
        <v>59</v>
      </c>
      <c r="C43" s="62">
        <v>101355</v>
      </c>
      <c r="D43" s="63" t="s">
        <v>47</v>
      </c>
      <c r="E43" s="64">
        <f>2125000+125000</f>
        <v>2250000</v>
      </c>
      <c r="F43" s="64">
        <v>0</v>
      </c>
      <c r="G43" s="71">
        <f>2125000+125000</f>
        <v>2250000</v>
      </c>
      <c r="H43" s="71">
        <v>0</v>
      </c>
      <c r="I43" s="64">
        <v>2171100.0699999998</v>
      </c>
      <c r="J43" s="69">
        <v>0</v>
      </c>
      <c r="K43" s="71">
        <v>0</v>
      </c>
      <c r="L43" s="69">
        <v>0</v>
      </c>
      <c r="M43" s="71">
        <v>0</v>
      </c>
      <c r="N43" s="71">
        <v>0</v>
      </c>
      <c r="O43" s="61">
        <v>0</v>
      </c>
      <c r="P43" s="61">
        <v>0</v>
      </c>
      <c r="Q43" s="71">
        <v>0</v>
      </c>
      <c r="R43" s="69">
        <v>0</v>
      </c>
      <c r="S43" s="71">
        <v>0</v>
      </c>
      <c r="T43" s="71"/>
      <c r="U43" s="61"/>
      <c r="V43" s="61"/>
      <c r="W43" s="73">
        <v>2062369.76</v>
      </c>
      <c r="X43" s="61">
        <v>187630.24</v>
      </c>
      <c r="Y43" s="66">
        <f>G43+H43+O43+P43+S43-W43</f>
        <v>187630.24</v>
      </c>
      <c r="AA43" s="80">
        <v>78899.929999999993</v>
      </c>
      <c r="AB43" s="74"/>
      <c r="AD43" s="74">
        <f>AA43</f>
        <v>78899.929999999993</v>
      </c>
    </row>
    <row r="44" spans="2:30" ht="31.5" x14ac:dyDescent="0.25">
      <c r="B44" s="119"/>
      <c r="C44" s="62">
        <v>101472</v>
      </c>
      <c r="D44" s="63" t="s">
        <v>67</v>
      </c>
      <c r="E44" s="71">
        <v>0</v>
      </c>
      <c r="F44" s="71">
        <v>0</v>
      </c>
      <c r="G44" s="71">
        <v>0</v>
      </c>
      <c r="H44" s="71">
        <v>0</v>
      </c>
      <c r="I44" s="71">
        <v>0</v>
      </c>
      <c r="J44" s="69">
        <v>0</v>
      </c>
      <c r="K44" s="71">
        <v>2586000</v>
      </c>
      <c r="L44" s="69">
        <v>0</v>
      </c>
      <c r="M44" s="71">
        <v>2586000</v>
      </c>
      <c r="N44" s="69">
        <v>0</v>
      </c>
      <c r="O44" s="61">
        <v>2047096.41</v>
      </c>
      <c r="P44" s="61">
        <v>0</v>
      </c>
      <c r="Q44" s="71">
        <v>0</v>
      </c>
      <c r="R44" s="69">
        <v>0</v>
      </c>
      <c r="S44" s="71">
        <v>0</v>
      </c>
      <c r="T44" s="69"/>
      <c r="U44" s="61"/>
      <c r="V44" s="61"/>
      <c r="W44" s="73">
        <v>0</v>
      </c>
      <c r="X44" s="61"/>
      <c r="Y44" s="66">
        <f>O44+P44+S44-W44</f>
        <v>2047096.41</v>
      </c>
      <c r="AA44" s="80"/>
      <c r="AB44" s="74"/>
    </row>
    <row r="45" spans="2:30" ht="31.5" x14ac:dyDescent="0.25">
      <c r="B45" s="119"/>
      <c r="C45" s="62">
        <v>101473</v>
      </c>
      <c r="D45" s="63" t="s">
        <v>68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69">
        <v>0</v>
      </c>
      <c r="K45" s="71">
        <v>2584000</v>
      </c>
      <c r="L45" s="69">
        <v>0</v>
      </c>
      <c r="M45" s="71">
        <v>2584000</v>
      </c>
      <c r="N45" s="69">
        <v>0</v>
      </c>
      <c r="O45" s="61">
        <v>1776566.06</v>
      </c>
      <c r="P45" s="61">
        <v>0</v>
      </c>
      <c r="Q45" s="71">
        <v>0</v>
      </c>
      <c r="R45" s="69">
        <v>0</v>
      </c>
      <c r="S45" s="71">
        <v>0</v>
      </c>
      <c r="T45" s="69"/>
      <c r="U45" s="61"/>
      <c r="V45" s="61"/>
      <c r="W45" s="73">
        <v>0</v>
      </c>
      <c r="X45" s="61"/>
      <c r="Y45" s="66">
        <f>O45+P45+S45-W45</f>
        <v>1776566.06</v>
      </c>
      <c r="AA45" s="80"/>
      <c r="AB45" s="74"/>
    </row>
    <row r="46" spans="2:30" ht="21.95" customHeight="1" x14ac:dyDescent="0.25">
      <c r="B46" s="119"/>
      <c r="C46" s="59">
        <v>101477</v>
      </c>
      <c r="D46" s="60" t="s">
        <v>48</v>
      </c>
      <c r="E46" s="61">
        <f>34000000</f>
        <v>34000000</v>
      </c>
      <c r="F46" s="61">
        <v>0</v>
      </c>
      <c r="G46" s="61">
        <f>34000000-32782162.5</f>
        <v>1217837.5</v>
      </c>
      <c r="H46" s="61">
        <v>0</v>
      </c>
      <c r="I46" s="61">
        <v>458638.75</v>
      </c>
      <c r="J46" s="61">
        <v>0</v>
      </c>
      <c r="K46" s="61">
        <v>80750000</v>
      </c>
      <c r="L46" s="61">
        <v>0</v>
      </c>
      <c r="M46" s="61">
        <v>80750000</v>
      </c>
      <c r="N46" s="61">
        <v>0</v>
      </c>
      <c r="O46" s="61">
        <v>21674454.719999999</v>
      </c>
      <c r="P46" s="61">
        <v>0</v>
      </c>
      <c r="Q46" s="61">
        <v>177055000</v>
      </c>
      <c r="R46" s="61">
        <v>0</v>
      </c>
      <c r="S46" s="61">
        <v>177055000</v>
      </c>
      <c r="T46" s="61"/>
      <c r="U46" s="61"/>
      <c r="V46" s="61"/>
      <c r="W46" s="73">
        <f>32782162.5+21827004.22</f>
        <v>54609166.719999999</v>
      </c>
      <c r="X46" s="61">
        <v>1217837.5</v>
      </c>
      <c r="Y46" s="66">
        <f>E46+F46+O46+P46+S46-W46</f>
        <v>178120288</v>
      </c>
      <c r="AA46" s="80">
        <v>759198.75</v>
      </c>
      <c r="AB46" s="74"/>
      <c r="AD46" s="74">
        <f>AA46</f>
        <v>759198.75</v>
      </c>
    </row>
    <row r="47" spans="2:30" ht="36" customHeight="1" x14ac:dyDescent="0.25">
      <c r="B47" s="119"/>
      <c r="C47" s="59">
        <v>101503</v>
      </c>
      <c r="D47" s="60" t="s">
        <v>69</v>
      </c>
      <c r="E47" s="61">
        <v>0</v>
      </c>
      <c r="F47" s="61">
        <v>0</v>
      </c>
      <c r="G47" s="61">
        <v>0</v>
      </c>
      <c r="H47" s="61">
        <v>0</v>
      </c>
      <c r="I47" s="61">
        <v>0</v>
      </c>
      <c r="J47" s="61">
        <v>0</v>
      </c>
      <c r="K47" s="61">
        <v>28670000</v>
      </c>
      <c r="L47" s="61">
        <v>0</v>
      </c>
      <c r="M47" s="61">
        <v>28670000</v>
      </c>
      <c r="N47" s="61">
        <v>0</v>
      </c>
      <c r="O47" s="61">
        <v>28670000</v>
      </c>
      <c r="P47" s="61">
        <v>0</v>
      </c>
      <c r="Q47" s="61">
        <v>18233000</v>
      </c>
      <c r="R47" s="61">
        <v>0</v>
      </c>
      <c r="S47" s="61">
        <v>18233000</v>
      </c>
      <c r="T47" s="61"/>
      <c r="U47" s="61"/>
      <c r="V47" s="61"/>
      <c r="W47" s="82">
        <v>28670000</v>
      </c>
      <c r="X47" s="61"/>
      <c r="Y47" s="66">
        <f>E47+F47+O47+P47+S47-W47</f>
        <v>18233000</v>
      </c>
      <c r="AA47" s="80"/>
      <c r="AB47" s="74"/>
    </row>
    <row r="48" spans="2:30" ht="21.95" customHeight="1" thickBot="1" x14ac:dyDescent="0.3">
      <c r="B48" s="119"/>
      <c r="C48" s="59">
        <v>101505</v>
      </c>
      <c r="D48" s="60" t="s">
        <v>70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9000000</v>
      </c>
      <c r="L48" s="61">
        <v>0</v>
      </c>
      <c r="M48" s="61">
        <v>9000000</v>
      </c>
      <c r="N48" s="61">
        <v>0</v>
      </c>
      <c r="O48" s="61">
        <v>6180240.5199999996</v>
      </c>
      <c r="P48" s="61">
        <v>0</v>
      </c>
      <c r="Q48" s="61">
        <v>27602000</v>
      </c>
      <c r="R48" s="61">
        <v>0</v>
      </c>
      <c r="S48" s="61">
        <v>27602000</v>
      </c>
      <c r="T48" s="61"/>
      <c r="U48" s="61"/>
      <c r="V48" s="61"/>
      <c r="W48" s="73">
        <v>0</v>
      </c>
      <c r="X48" s="61"/>
      <c r="Y48" s="66">
        <f>O48+P48+S48-W48</f>
        <v>33782240.519999996</v>
      </c>
      <c r="AA48" s="81"/>
      <c r="AB48" s="74"/>
    </row>
    <row r="49" spans="2:29" ht="24.95" customHeight="1" thickTop="1" x14ac:dyDescent="0.25">
      <c r="B49" s="112" t="s">
        <v>2</v>
      </c>
      <c r="C49" s="113"/>
      <c r="D49" s="114"/>
      <c r="E49" s="72">
        <f t="shared" ref="E49:O49" si="1">SUM(E4:E48)</f>
        <v>336930000</v>
      </c>
      <c r="F49" s="72">
        <f t="shared" si="1"/>
        <v>63070000</v>
      </c>
      <c r="G49" s="78">
        <f t="shared" si="1"/>
        <v>211716422.49000004</v>
      </c>
      <c r="H49" s="78">
        <f t="shared" si="1"/>
        <v>55501415.009999998</v>
      </c>
      <c r="I49" s="78">
        <f t="shared" si="1"/>
        <v>203601172.23000002</v>
      </c>
      <c r="J49" s="78">
        <f t="shared" si="1"/>
        <v>48976541.18</v>
      </c>
      <c r="K49" s="72">
        <f t="shared" si="1"/>
        <v>363004000</v>
      </c>
      <c r="L49" s="72">
        <f t="shared" si="1"/>
        <v>136996000</v>
      </c>
      <c r="M49" s="72">
        <f t="shared" si="1"/>
        <v>412432285.42000008</v>
      </c>
      <c r="N49" s="72">
        <f t="shared" si="1"/>
        <v>99752165.879999995</v>
      </c>
      <c r="O49" s="72">
        <f t="shared" si="1"/>
        <v>335395809.75999999</v>
      </c>
      <c r="P49" s="72">
        <f t="shared" ref="P49" si="2">SUM(P4:P48)</f>
        <v>86723709.579999998</v>
      </c>
      <c r="Q49" s="72">
        <f t="shared" ref="Q49:V49" si="3">SUM(Q4:Q48)</f>
        <v>470000000</v>
      </c>
      <c r="R49" s="72">
        <f t="shared" si="3"/>
        <v>0</v>
      </c>
      <c r="S49" s="72">
        <f t="shared" si="3"/>
        <v>469563931.95999998</v>
      </c>
      <c r="T49" s="72">
        <f t="shared" si="3"/>
        <v>0</v>
      </c>
      <c r="U49" s="72">
        <f t="shared" si="3"/>
        <v>0</v>
      </c>
      <c r="V49" s="72">
        <f t="shared" si="3"/>
        <v>0</v>
      </c>
      <c r="W49" s="93">
        <f>SUM(W4:W48)</f>
        <v>490631474.38999987</v>
      </c>
      <c r="X49" s="93">
        <f t="shared" ref="X49" si="4">SUM(X4:X48)</f>
        <v>136851989.25999999</v>
      </c>
      <c r="Y49" s="110">
        <f>Y48+Y47+Y46+Y45+Y44+Y43+Y42+Y41+Y39+Y38+Y37+Y36+Y34+Y33+Y31+Y30+Y28+Y27+Y26+Y25+Y24+Y23+Y22+Y21+Y20+Y19+Y18+Y17+Y16+Y15+Y14+Y13+Y12+Y11+Y9+Y8+Y7+Y6+Y5+Y4</f>
        <v>688867525.61000001</v>
      </c>
      <c r="AA49" s="100">
        <f>SUM(AA4:AA48)</f>
        <v>14640124.090000002</v>
      </c>
      <c r="AB49" s="74"/>
    </row>
    <row r="50" spans="2:29" ht="24.95" customHeight="1" thickBot="1" x14ac:dyDescent="0.3">
      <c r="B50" s="115"/>
      <c r="C50" s="116"/>
      <c r="D50" s="117"/>
      <c r="E50" s="85">
        <f>SUM(E4:F48)</f>
        <v>400000000</v>
      </c>
      <c r="F50" s="85"/>
      <c r="G50" s="85">
        <f>SUM(G4:H48)</f>
        <v>267217837.5</v>
      </c>
      <c r="H50" s="85"/>
      <c r="I50" s="85">
        <f>SUM(I4:J48)</f>
        <v>252577713.41</v>
      </c>
      <c r="J50" s="85"/>
      <c r="K50" s="85">
        <f>SUM(K4:L48)</f>
        <v>500000000</v>
      </c>
      <c r="L50" s="85"/>
      <c r="M50" s="85">
        <f>SUM(M4:N48)</f>
        <v>512184451.29999995</v>
      </c>
      <c r="N50" s="85"/>
      <c r="O50" s="85">
        <f>SUM(O4:P48)</f>
        <v>422119519.34000003</v>
      </c>
      <c r="P50" s="85"/>
      <c r="Q50" s="85">
        <f>SUM(Q4:R48)</f>
        <v>470000000</v>
      </c>
      <c r="R50" s="85"/>
      <c r="S50" s="85">
        <f>SUM(S4:T48)</f>
        <v>469563931.95999998</v>
      </c>
      <c r="T50" s="85"/>
      <c r="U50" s="85">
        <f>SUM(U4:V48)</f>
        <v>0</v>
      </c>
      <c r="V50" s="85"/>
      <c r="W50" s="94"/>
      <c r="X50" s="94"/>
      <c r="Y50" s="111"/>
      <c r="AA50" s="101"/>
      <c r="AB50" s="74"/>
    </row>
    <row r="51" spans="2:29" ht="15.75" thickTop="1" x14ac:dyDescent="0.25">
      <c r="Y51" s="74"/>
    </row>
    <row r="52" spans="2:29" hidden="1" x14ac:dyDescent="0.25">
      <c r="I52" s="86">
        <f>G50-I50-11413754.65-32580.46-738116.19</f>
        <v>2455672.7900000033</v>
      </c>
      <c r="J52" s="86"/>
      <c r="L52" s="55"/>
      <c r="M52" s="86">
        <f>11413754.65+32580.46+738116.19</f>
        <v>12184451.300000001</v>
      </c>
      <c r="N52" s="87"/>
      <c r="P52" s="55"/>
      <c r="R52" s="55"/>
      <c r="S52" s="86">
        <f>11413754.65+32580.46+738116.19</f>
        <v>12184451.300000001</v>
      </c>
      <c r="T52" s="87"/>
      <c r="V52" s="55"/>
      <c r="W52" s="55"/>
      <c r="X52" s="55"/>
      <c r="Y52" s="55">
        <f>Y49-400000000</f>
        <v>288867525.61000001</v>
      </c>
      <c r="AA52" s="74">
        <v>11413754.65</v>
      </c>
      <c r="AB52" t="s">
        <v>73</v>
      </c>
    </row>
    <row r="53" spans="2:29" x14ac:dyDescent="0.25">
      <c r="J53" s="74"/>
      <c r="O53" s="74"/>
      <c r="AA53" s="74">
        <v>32580.46</v>
      </c>
      <c r="AB53" t="s">
        <v>74</v>
      </c>
      <c r="AC53" s="74"/>
    </row>
    <row r="54" spans="2:29" x14ac:dyDescent="0.25">
      <c r="AA54" s="74">
        <v>738116.19</v>
      </c>
      <c r="AB54" t="s">
        <v>75</v>
      </c>
    </row>
    <row r="55" spans="2:29" x14ac:dyDescent="0.25">
      <c r="AA55" s="74">
        <f>AA49-AA52-AA53-AA54</f>
        <v>2455672.7900000014</v>
      </c>
      <c r="AB55" t="s">
        <v>76</v>
      </c>
    </row>
  </sheetData>
  <mergeCells count="37">
    <mergeCell ref="B1:W1"/>
    <mergeCell ref="G2:H2"/>
    <mergeCell ref="I2:J2"/>
    <mergeCell ref="W2:W3"/>
    <mergeCell ref="K2:L2"/>
    <mergeCell ref="O2:P2"/>
    <mergeCell ref="M2:N2"/>
    <mergeCell ref="Q2:R2"/>
    <mergeCell ref="S2:T2"/>
    <mergeCell ref="U2:V2"/>
    <mergeCell ref="AA2:AA3"/>
    <mergeCell ref="AA49:AA50"/>
    <mergeCell ref="Y2:Y3"/>
    <mergeCell ref="C2:C3"/>
    <mergeCell ref="D2:D3"/>
    <mergeCell ref="E2:F2"/>
    <mergeCell ref="W49:W50"/>
    <mergeCell ref="Y49:Y50"/>
    <mergeCell ref="E50:F50"/>
    <mergeCell ref="B49:D50"/>
    <mergeCell ref="G50:H50"/>
    <mergeCell ref="I50:J50"/>
    <mergeCell ref="K50:L50"/>
    <mergeCell ref="B43:B48"/>
    <mergeCell ref="O50:P50"/>
    <mergeCell ref="M50:N50"/>
    <mergeCell ref="S50:T50"/>
    <mergeCell ref="U50:V50"/>
    <mergeCell ref="S52:T52"/>
    <mergeCell ref="B11:B40"/>
    <mergeCell ref="X2:X3"/>
    <mergeCell ref="X49:X50"/>
    <mergeCell ref="B2:B3"/>
    <mergeCell ref="M52:N52"/>
    <mergeCell ref="I52:J52"/>
    <mergeCell ref="B4:B10"/>
    <mergeCell ref="Q50:R50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39" firstPageNumber="2" fitToHeight="0" orientation="landscape" useFirstPageNumber="1" r:id="rId1"/>
  <headerFooter>
    <oddFooter>&amp;LZastupitelstvo Olomouckého kraje 24. 4. 2023
9.2.1. - Rozpočet Olomouckého kraje 2023 - splátka úvěru na financování oprav, investic a projektů - DODATEK
Příloha č. 1 k DZ - přehled revolvingového úvěru&amp;RStrana &amp;P (celkem 2)</oddFooter>
  </headerFooter>
  <ignoredErrors>
    <ignoredError sqref="L6 L7:L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ColWidth="9.140625"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38" t="s">
        <v>25</v>
      </c>
      <c r="B1" s="138"/>
      <c r="C1" s="138"/>
      <c r="D1" s="138"/>
      <c r="E1" s="138"/>
      <c r="F1" s="138"/>
      <c r="G1" s="138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1" t="s">
        <v>0</v>
      </c>
      <c r="B4" s="123" t="s">
        <v>5</v>
      </c>
      <c r="C4" s="123" t="s">
        <v>6</v>
      </c>
      <c r="D4" s="125" t="s">
        <v>10</v>
      </c>
      <c r="E4" s="125" t="s">
        <v>1</v>
      </c>
      <c r="F4" s="133" t="s">
        <v>4</v>
      </c>
      <c r="G4" s="125" t="s">
        <v>7</v>
      </c>
      <c r="H4" s="129" t="s">
        <v>3</v>
      </c>
      <c r="I4" s="125" t="s">
        <v>9</v>
      </c>
      <c r="J4" s="125" t="s">
        <v>12</v>
      </c>
      <c r="K4" s="125" t="s">
        <v>8</v>
      </c>
      <c r="L4" s="131" t="s">
        <v>13</v>
      </c>
      <c r="M4" s="127" t="s">
        <v>14</v>
      </c>
    </row>
    <row r="5" spans="1:13" ht="39" customHeight="1" thickBot="1" x14ac:dyDescent="0.25">
      <c r="A5" s="122"/>
      <c r="B5" s="124"/>
      <c r="C5" s="124"/>
      <c r="D5" s="126"/>
      <c r="E5" s="126"/>
      <c r="F5" s="134"/>
      <c r="G5" s="126"/>
      <c r="H5" s="130"/>
      <c r="I5" s="126"/>
      <c r="J5" s="126"/>
      <c r="K5" s="126"/>
      <c r="L5" s="132"/>
      <c r="M5" s="128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35" t="s">
        <v>2</v>
      </c>
      <c r="B11" s="136"/>
      <c r="C11" s="136"/>
      <c r="D11" s="136"/>
      <c r="E11" s="136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1" t="s">
        <v>0</v>
      </c>
      <c r="B13" s="123" t="s">
        <v>5</v>
      </c>
      <c r="C13" s="123" t="s">
        <v>6</v>
      </c>
      <c r="D13" s="125" t="s">
        <v>10</v>
      </c>
      <c r="E13" s="125" t="s">
        <v>1</v>
      </c>
      <c r="F13" s="133" t="s">
        <v>4</v>
      </c>
      <c r="G13" s="125" t="s">
        <v>7</v>
      </c>
      <c r="H13" s="129" t="s">
        <v>3</v>
      </c>
      <c r="I13" s="125" t="s">
        <v>9</v>
      </c>
      <c r="J13" s="125" t="s">
        <v>12</v>
      </c>
      <c r="K13" s="125" t="s">
        <v>8</v>
      </c>
      <c r="L13" s="131" t="s">
        <v>13</v>
      </c>
      <c r="M13" s="127" t="s">
        <v>14</v>
      </c>
    </row>
    <row r="14" spans="1:13" ht="39" customHeight="1" thickBot="1" x14ac:dyDescent="0.25">
      <c r="A14" s="122"/>
      <c r="B14" s="124"/>
      <c r="C14" s="124"/>
      <c r="D14" s="126"/>
      <c r="E14" s="126"/>
      <c r="F14" s="134"/>
      <c r="G14" s="126"/>
      <c r="H14" s="130"/>
      <c r="I14" s="126"/>
      <c r="J14" s="126"/>
      <c r="K14" s="126"/>
      <c r="L14" s="132"/>
      <c r="M14" s="128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35" t="s">
        <v>26</v>
      </c>
      <c r="B19" s="136"/>
      <c r="C19" s="136"/>
      <c r="D19" s="136"/>
      <c r="E19" s="136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35" t="s">
        <v>2</v>
      </c>
      <c r="B21" s="136"/>
      <c r="C21" s="136"/>
      <c r="D21" s="136"/>
      <c r="E21" s="136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37"/>
      <c r="L22" s="137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2023-04-13T10:10:01Z</cp:lastPrinted>
  <dcterms:created xsi:type="dcterms:W3CDTF">2013-11-04T07:24:03Z</dcterms:created>
  <dcterms:modified xsi:type="dcterms:W3CDTF">2023-04-17T13:33:07Z</dcterms:modified>
</cp:coreProperties>
</file>