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bory-Plnička\Rozbory hospodaření - 2017\Plnění rozpočtu k 28. 2. 2017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Financování!$A$1:$F$19</definedName>
    <definedName name="_xlnm.Print_Area" localSheetId="0">Příjmy!$A$1:$F$20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Výdaje!$A$1:$F$150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H9" i="3" l="1"/>
  <c r="H8" i="3"/>
  <c r="H7" i="3"/>
  <c r="F9" i="3" l="1"/>
  <c r="G9" i="3"/>
  <c r="E9" i="3"/>
  <c r="E54" i="2"/>
  <c r="D54" i="2"/>
  <c r="C54" i="2"/>
  <c r="D12" i="10" l="1"/>
  <c r="C12" i="10"/>
  <c r="B12" i="10"/>
  <c r="D11" i="10"/>
  <c r="E11" i="10" s="1"/>
  <c r="C11" i="10"/>
  <c r="B11" i="10"/>
  <c r="E10" i="10"/>
  <c r="E9" i="10"/>
  <c r="E12" i="10" l="1"/>
  <c r="E144" i="2" l="1"/>
  <c r="E146" i="2" s="1"/>
  <c r="D146" i="2"/>
  <c r="C146" i="2"/>
  <c r="F145" i="2"/>
  <c r="F144" i="2" l="1"/>
  <c r="F146" i="2"/>
  <c r="F97" i="2" l="1"/>
  <c r="F120" i="2"/>
  <c r="E14" i="2"/>
  <c r="E13" i="2" s="1"/>
  <c r="E122" i="2" l="1"/>
  <c r="E121" i="2" s="1"/>
  <c r="D121" i="2"/>
  <c r="C121" i="2"/>
  <c r="D99" i="2"/>
  <c r="C99" i="2"/>
  <c r="F68" i="2"/>
  <c r="D70" i="2"/>
  <c r="E50" i="2" l="1"/>
  <c r="D50" i="2"/>
  <c r="C50" i="2"/>
  <c r="D57" i="2" l="1"/>
  <c r="E57" i="2"/>
  <c r="C57" i="2"/>
  <c r="E36" i="2"/>
  <c r="D36" i="2"/>
  <c r="E31" i="2"/>
  <c r="D31" i="2"/>
  <c r="C31" i="2"/>
  <c r="E26" i="2"/>
  <c r="D26" i="2"/>
  <c r="E21" i="2"/>
  <c r="D21" i="2"/>
  <c r="C21" i="2"/>
  <c r="D14" i="2"/>
  <c r="C14" i="2"/>
  <c r="E8" i="2"/>
  <c r="D8" i="2"/>
  <c r="D7" i="2" s="1"/>
  <c r="C8" i="2"/>
  <c r="D12" i="1"/>
  <c r="D81" i="2" l="1"/>
  <c r="F83" i="2" l="1"/>
  <c r="F16" i="2" l="1"/>
  <c r="E117" i="2" l="1"/>
  <c r="D117" i="2" l="1"/>
  <c r="F12" i="2"/>
  <c r="E35" i="2" l="1"/>
  <c r="F36" i="2" l="1"/>
  <c r="F38" i="2"/>
  <c r="E7" i="2"/>
  <c r="C7" i="2"/>
  <c r="F66" i="2" l="1"/>
  <c r="F100" i="2" l="1"/>
  <c r="E65" i="2" l="1"/>
  <c r="D65" i="2"/>
  <c r="D64" i="2" s="1"/>
  <c r="D92" i="2" l="1"/>
  <c r="D88" i="2" s="1"/>
  <c r="F73" i="2"/>
  <c r="E70" i="2"/>
  <c r="E64" i="2" s="1"/>
  <c r="C70" i="2"/>
  <c r="F70" i="2" l="1"/>
  <c r="C76" i="2" l="1"/>
  <c r="C65" i="2"/>
  <c r="C64" i="2" s="1"/>
  <c r="C13" i="2"/>
  <c r="D13" i="1" l="1"/>
  <c r="D15" i="1" s="1"/>
  <c r="G7" i="3" l="1"/>
  <c r="D49" i="2"/>
  <c r="F115" i="2" l="1"/>
  <c r="F119" i="2" l="1"/>
  <c r="F118" i="2" l="1"/>
  <c r="E114" i="2"/>
  <c r="E112" i="2" s="1"/>
  <c r="D114" i="2"/>
  <c r="C117" i="2"/>
  <c r="C114" i="2"/>
  <c r="F114" i="2" l="1"/>
  <c r="D112" i="2"/>
  <c r="F117" i="2"/>
  <c r="C112" i="2"/>
  <c r="C49" i="2" l="1"/>
  <c r="C13" i="1" l="1"/>
  <c r="C15" i="1" s="1"/>
  <c r="F7" i="3" l="1"/>
  <c r="F124" i="2"/>
  <c r="F112" i="2"/>
  <c r="F125" i="2" l="1"/>
  <c r="D25" i="2" l="1"/>
  <c r="D13" i="2"/>
  <c r="E44" i="2" l="1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103" i="2" l="1"/>
  <c r="D103" i="2"/>
  <c r="F103" i="2" l="1"/>
  <c r="F15" i="2"/>
  <c r="B13" i="1" l="1"/>
  <c r="F90" i="2" l="1"/>
  <c r="C103" i="2"/>
  <c r="D35" i="2" l="1"/>
  <c r="E30" i="2"/>
  <c r="D30" i="2"/>
  <c r="E25" i="2"/>
  <c r="E19" i="2"/>
  <c r="D19" i="2"/>
  <c r="E47" i="2" l="1"/>
  <c r="D47" i="2"/>
  <c r="E49" i="2"/>
  <c r="D48" i="2"/>
  <c r="D76" i="2"/>
  <c r="D75" i="2" s="1"/>
  <c r="E76" i="2"/>
  <c r="E81" i="2"/>
  <c r="E48" i="2" l="1"/>
  <c r="F49" i="2"/>
  <c r="E75" i="2"/>
  <c r="F8" i="2"/>
  <c r="F48" i="2" l="1"/>
  <c r="D87" i="2" l="1"/>
  <c r="D86" i="2" s="1"/>
  <c r="D134" i="2" l="1"/>
  <c r="D147" i="2" s="1"/>
  <c r="D148" i="2" s="1"/>
  <c r="C134" i="2"/>
  <c r="C147" i="2" s="1"/>
  <c r="C148" i="2" s="1"/>
  <c r="F104" i="2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E134" i="2" l="1"/>
  <c r="E147" i="2" s="1"/>
  <c r="F147" i="2" l="1"/>
  <c r="E148" i="2"/>
  <c r="F148" i="2" s="1"/>
  <c r="G30" i="5" l="1"/>
  <c r="C44" i="5" s="1"/>
  <c r="C3" i="5" l="1"/>
  <c r="C48" i="5" s="1"/>
  <c r="F65" i="2" l="1"/>
  <c r="F18" i="2"/>
  <c r="F95" i="2"/>
  <c r="F13" i="2"/>
  <c r="D98" i="2"/>
  <c r="D127" i="2"/>
  <c r="E92" i="2"/>
  <c r="E88" i="2" s="1"/>
  <c r="F19" i="2"/>
  <c r="E98" i="2"/>
  <c r="E127" i="2"/>
  <c r="E130" i="2"/>
  <c r="C130" i="2"/>
  <c r="D130" i="2"/>
  <c r="C98" i="2"/>
  <c r="C92" i="2"/>
  <c r="C88" i="2" s="1"/>
  <c r="C81" i="2"/>
  <c r="C19" i="2"/>
  <c r="C25" i="2"/>
  <c r="C30" i="2"/>
  <c r="C35" i="2"/>
  <c r="C127" i="2"/>
  <c r="F26" i="2"/>
  <c r="B15" i="1"/>
  <c r="F134" i="2"/>
  <c r="F131" i="2"/>
  <c r="F129" i="2"/>
  <c r="F128" i="2"/>
  <c r="F123" i="2"/>
  <c r="F122" i="2"/>
  <c r="F99" i="2"/>
  <c r="F78" i="2"/>
  <c r="F77" i="2"/>
  <c r="F58" i="2"/>
  <c r="F55" i="2"/>
  <c r="F50" i="2"/>
  <c r="F32" i="2"/>
  <c r="F31" i="2"/>
  <c r="F22" i="2"/>
  <c r="F21" i="2"/>
  <c r="F14" i="2"/>
  <c r="E9" i="1"/>
  <c r="E14" i="1"/>
  <c r="E11" i="1"/>
  <c r="E12" i="1"/>
  <c r="E10" i="1"/>
  <c r="E7" i="3" l="1"/>
  <c r="D133" i="2"/>
  <c r="C87" i="2"/>
  <c r="C86" i="2" s="1"/>
  <c r="F88" i="2"/>
  <c r="E87" i="2"/>
  <c r="E86" i="2" s="1"/>
  <c r="E133" i="2" s="1"/>
  <c r="C48" i="2"/>
  <c r="C47" i="2"/>
  <c r="C75" i="2"/>
  <c r="F127" i="2"/>
  <c r="G7" i="8"/>
  <c r="F54" i="2"/>
  <c r="F81" i="2"/>
  <c r="F130" i="2"/>
  <c r="F76" i="2"/>
  <c r="F30" i="2"/>
  <c r="F98" i="2"/>
  <c r="F35" i="2"/>
  <c r="F25" i="2"/>
  <c r="D45" i="2"/>
  <c r="C45" i="2"/>
  <c r="F7" i="2"/>
  <c r="B6" i="4"/>
  <c r="E15" i="1"/>
  <c r="E13" i="1"/>
  <c r="F57" i="2"/>
  <c r="F75" i="2"/>
  <c r="F121" i="2"/>
  <c r="F92" i="2"/>
  <c r="F64" i="2"/>
  <c r="E45" i="2"/>
  <c r="F87" i="2" l="1"/>
  <c r="C133" i="2"/>
  <c r="B4" i="4"/>
  <c r="E41" i="8"/>
  <c r="E7" i="8"/>
  <c r="F86" i="2"/>
  <c r="B35" i="4"/>
  <c r="G41" i="8"/>
  <c r="F7" i="8"/>
  <c r="H7" i="8" s="1"/>
  <c r="B33" i="4"/>
  <c r="E135" i="2" l="1"/>
  <c r="G8" i="3" s="1"/>
  <c r="G10" i="3" s="1"/>
  <c r="D135" i="2"/>
  <c r="F8" i="3" s="1"/>
  <c r="F133" i="2"/>
  <c r="C135" i="2"/>
  <c r="E8" i="3" s="1"/>
  <c r="C4" i="4" s="1"/>
  <c r="F41" i="8"/>
  <c r="H41" i="8" s="1"/>
  <c r="E9" i="8" l="1"/>
  <c r="C33" i="4"/>
  <c r="F9" i="8"/>
  <c r="F42" i="8"/>
  <c r="F135" i="2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534x výdaje bez ORJ 7
UCRSB 041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Ing. Alice Hradilová</author>
    <author>Hradilová Alice</author>
  </authors>
  <commentList>
    <comment ref="G25" authorId="0" shape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G122" authorId="1" shapeId="0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34" authorId="2" shapeId="0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</text>
    </comment>
    <comment ref="E144" authorId="1" shapeId="0">
      <text>
        <r>
          <rPr>
            <sz val="8"/>
            <color indexed="81"/>
            <rFont val="Tahoma"/>
            <family val="2"/>
            <charset val="238"/>
          </rPr>
          <t xml:space="preserve">běžné výdaje z fin - konsolidace ORJ 07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  <author>Ing. Alice Hradilová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8124, 8224 - Finka
</t>
        </r>
      </text>
    </comment>
    <comment ref="F11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Komentář od Alice:
8113, 8123,8223,8115-z RU
8905-skutečnost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5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6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<sst xmlns="http://schemas.openxmlformats.org/spreadsheetml/2006/main" count="292" uniqueCount="136">
  <si>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</si>
  <si>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</si>
  <si>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</si>
  <si>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</si>
  <si>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</si>
  <si>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</si>
  <si>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</si>
  <si>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</si>
  <si>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</si>
  <si>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</si>
  <si>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</si>
  <si>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</si>
  <si>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</si>
  <si>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</si>
  <si>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</si>
  <si>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</si>
  <si>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</si>
  <si>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</si>
  <si>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</si>
  <si>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</si>
  <si>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</si>
  <si>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</si>
  <si>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</si>
  <si>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</si>
  <si>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</si>
  <si>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</si>
  <si>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</si>
  <si>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</si>
  <si>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</si>
  <si>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</si>
  <si>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</si>
  <si>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</si>
  <si>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</si>
  <si>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</si>
  <si>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</si>
  <si>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</si>
  <si>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</si>
  <si>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</si>
  <si>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</si>
  <si>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</si>
  <si>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</si>
  <si>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</si>
  <si>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</si>
  <si>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</si>
  <si>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</si>
  <si>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</si>
  <si>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</si>
  <si>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</si>
  <si>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</si>
  <si>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</si>
  <si>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</si>
  <si>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</si>
  <si>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</si>
  <si>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</si>
  <si>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</si>
  <si>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</si>
  <si>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</si>
  <si>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</si>
  <si>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</si>
  <si>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</si>
  <si>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</si>
  <si>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</si>
  <si>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</si>
  <si>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</si>
  <si>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</si>
  <si>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</si>
  <si>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</si>
  <si>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</si>
  <si>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</si>
  <si>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</si>
  <si>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</si>
  <si>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</si>
  <si>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</si>
  <si>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</si>
  <si>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</si>
  <si>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</si>
  <si>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</si>
  <si>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</si>
  <si>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</si>
  <si>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</si>
  <si>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</si>
  <si>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</si>
  <si>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</si>
  <si>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</si>
  <si>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</si>
  <si>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</si>
  <si>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</si>
  <si>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</si>
  <si>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</si>
  <si>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</si>
  <si>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</si>
  <si>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</si>
  <si>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</si>
  <si>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</si>
  <si>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</si>
  <si>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</si>
  <si>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</si>
  <si>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</si>
  <si>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</si>
  <si>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</si>
  <si>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veřejných zakázek a investic</t>
  </si>
  <si>
    <t>Odbor podpory řízení příspěvkových organizací</t>
  </si>
  <si>
    <t>Odbor kancelář ředitele</t>
  </si>
  <si>
    <t>30-77</t>
  </si>
  <si>
    <t xml:space="preserve"> -neinvestiční  příspěvky</t>
  </si>
  <si>
    <t xml:space="preserve"> -investiční  příspěvky</t>
  </si>
  <si>
    <t xml:space="preserve"> -účelové neinvestiční dotace</t>
  </si>
  <si>
    <t xml:space="preserve"> -účelové investiční dotace</t>
  </si>
  <si>
    <t xml:space="preserve"> -konsolidace</t>
  </si>
  <si>
    <t xml:space="preserve"> -účelové neinvestiční příspěvky</t>
  </si>
  <si>
    <t xml:space="preserve"> -účelové investiční příspěvky</t>
  </si>
  <si>
    <t>Odbor majetkový, právní a správních činností</t>
  </si>
  <si>
    <t>Odbor strategického rozvoje kraje</t>
  </si>
  <si>
    <t>Odbor školství,sportu a kultury</t>
  </si>
  <si>
    <t>1. Plnění rozpočtu příjmů Olomouckého kraje k 28. 2. 2017</t>
  </si>
  <si>
    <t>2. Plnění rozpočtu výdajů Olomouckého kraje k 28. 2. 2017</t>
  </si>
  <si>
    <t>Rekapitulace příjmů a výdajů k 28. 2. 2017:</t>
  </si>
  <si>
    <t>Financování</t>
  </si>
  <si>
    <t>Financování celkem</t>
  </si>
  <si>
    <t>Krátkodobé přijaté půjčené prostředky</t>
  </si>
  <si>
    <t>Změna stavu krátkodobých prostředků na bank. účtech</t>
  </si>
  <si>
    <t>dotace z MŠMT pro PO, soukromé a obecní školy</t>
  </si>
  <si>
    <t>Splátky úvěrů</t>
  </si>
  <si>
    <t>Odbor kontroly</t>
  </si>
  <si>
    <t>Výdaje</t>
  </si>
  <si>
    <t>5 = 4 / 3</t>
  </si>
  <si>
    <r>
      <t>•</t>
    </r>
    <r>
      <rPr>
        <sz val="11"/>
        <rFont val="Arial"/>
        <family val="2"/>
        <charset val="238"/>
      </rPr>
      <t xml:space="preserve"> Běžné výdaje</t>
    </r>
  </si>
  <si>
    <r>
      <t xml:space="preserve">• </t>
    </r>
    <r>
      <rPr>
        <sz val="11"/>
        <rFont val="Arial"/>
        <family val="2"/>
        <charset val="238"/>
      </rPr>
      <t>Kapitálové výdaje</t>
    </r>
  </si>
  <si>
    <t xml:space="preserve">Výdaje celkem  </t>
  </si>
  <si>
    <t xml:space="preserve">Výdaje Olomouckého kraje                                (po konsolidaci)                </t>
  </si>
  <si>
    <t xml:space="preserve">Saldo příjmů a výdajů Olomouckého kraje po konsolidaci celkem </t>
  </si>
  <si>
    <t>Příjmy a výdaje Olomouckého kraje celkem</t>
  </si>
  <si>
    <t>3. Financování Olomouckého kraje k 28. 2. 2017</t>
  </si>
  <si>
    <t>Přehled celkových příjmů Olomouckého kraje, které zahrnují  příjmy běžné (daňové, nedaňové, kapitálové) přijaté účelové dotace ze státního rozpočtu.</t>
  </si>
  <si>
    <t>Rekapitulace dle druhu výdajů</t>
  </si>
  <si>
    <t>Přehled financování Olomouckého kraje, které zahrnuje zapojení úvěrů (úvěr z ČS), zapojení přebytku hospodaření a splátky úvěrů.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</si>
</sst>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70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20" fillId="0" borderId="15" xfId="1" applyFont="1" applyFill="1" applyBorder="1" applyAlignment="1">
      <alignment wrapText="1"/>
    </xf>
    <xf numFmtId="3" fontId="7" fillId="0" borderId="19" xfId="1" applyNumberFormat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5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165" fontId="16" fillId="0" borderId="19" xfId="1" applyNumberFormat="1" applyFont="1" applyFill="1" applyBorder="1" applyAlignment="1">
      <alignment horizontal="center"/>
    </xf>
    <xf numFmtId="0" fontId="20" fillId="0" borderId="5" xfId="1" applyFont="1" applyFill="1" applyBorder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7" xfId="1" applyNumberFormat="1" applyFont="1" applyFill="1" applyBorder="1"/>
    <xf numFmtId="3" fontId="20" fillId="0" borderId="28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0" fillId="0" borderId="0" xfId="1" applyNumberFormat="1" applyFont="1" applyFill="1" applyBorder="1"/>
    <xf numFmtId="3" fontId="42" fillId="0" borderId="0" xfId="1" applyNumberFormat="1" applyFont="1" applyFill="1"/>
    <xf numFmtId="164" fontId="44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2" xfId="0" applyNumberFormat="1" applyFont="1" applyFill="1" applyBorder="1" applyAlignment="1">
      <alignment horizontal="left"/>
    </xf>
    <xf numFmtId="3" fontId="48" fillId="5" borderId="33" xfId="0" applyFont="1" applyFill="1" applyBorder="1"/>
    <xf numFmtId="3" fontId="49" fillId="5" borderId="33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8" xfId="1" applyNumberFormat="1" applyFont="1" applyFill="1" applyBorder="1" applyAlignment="1">
      <alignment horizontal="center"/>
    </xf>
    <xf numFmtId="165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32" fillId="0" borderId="10" xfId="1" applyFont="1" applyFill="1" applyBorder="1" applyAlignment="1">
      <alignment wrapText="1"/>
    </xf>
    <xf numFmtId="165" fontId="31" fillId="0" borderId="3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17" fillId="0" borderId="4" xfId="1" applyNumberFormat="1" applyFont="1" applyFill="1" applyBorder="1" applyAlignment="1">
      <alignment horizontal="center" vertic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2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48" fillId="5" borderId="46" xfId="0" applyFont="1" applyFill="1" applyBorder="1" applyAlignment="1">
      <alignment horizontal="right"/>
    </xf>
    <xf numFmtId="3" fontId="50" fillId="5" borderId="22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left"/>
    </xf>
    <xf numFmtId="3" fontId="5" fillId="0" borderId="44" xfId="0" applyFont="1" applyFill="1" applyBorder="1"/>
    <xf numFmtId="3" fontId="5" fillId="0" borderId="40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13" fillId="3" borderId="36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7" xfId="1" applyFont="1" applyFill="1" applyBorder="1"/>
    <xf numFmtId="3" fontId="13" fillId="0" borderId="48" xfId="0" applyFont="1" applyBorder="1" applyAlignment="1">
      <alignment horizontal="right"/>
    </xf>
    <xf numFmtId="0" fontId="16" fillId="0" borderId="49" xfId="1" applyFont="1" applyFill="1" applyBorder="1"/>
    <xf numFmtId="3" fontId="9" fillId="0" borderId="50" xfId="0" applyFont="1" applyBorder="1" applyAlignment="1">
      <alignment horizontal="right"/>
    </xf>
    <xf numFmtId="0" fontId="4" fillId="0" borderId="51" xfId="1" applyFont="1" applyFill="1" applyBorder="1"/>
    <xf numFmtId="0" fontId="4" fillId="0" borderId="52" xfId="1" applyFont="1" applyFill="1" applyBorder="1"/>
    <xf numFmtId="165" fontId="19" fillId="0" borderId="53" xfId="1" applyNumberFormat="1" applyFont="1" applyFill="1" applyBorder="1" applyAlignment="1">
      <alignment horizontal="center"/>
    </xf>
    <xf numFmtId="3" fontId="7" fillId="0" borderId="53" xfId="1" applyNumberFormat="1" applyFont="1" applyFill="1" applyBorder="1"/>
    <xf numFmtId="3" fontId="9" fillId="0" borderId="54" xfId="0" applyFont="1" applyBorder="1" applyAlignment="1">
      <alignment horizontal="right"/>
    </xf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2" xfId="0" applyFont="1" applyBorder="1" applyAlignment="1">
      <alignment horizontal="right"/>
    </xf>
    <xf numFmtId="0" fontId="16" fillId="0" borderId="8" xfId="1" applyFont="1" applyFill="1" applyBorder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0" borderId="3" xfId="0" applyFont="1" applyFill="1" applyBorder="1"/>
    <xf numFmtId="164" fontId="62" fillId="0" borderId="0" xfId="1" applyNumberFormat="1" applyFont="1" applyFill="1" applyBorder="1"/>
    <xf numFmtId="164" fontId="63" fillId="0" borderId="0" xfId="1" applyNumberFormat="1" applyFont="1" applyFill="1" applyBorder="1"/>
    <xf numFmtId="4" fontId="64" fillId="0" borderId="0" xfId="1" applyNumberFormat="1" applyFont="1" applyFill="1" applyBorder="1"/>
    <xf numFmtId="0" fontId="4" fillId="0" borderId="5" xfId="2" applyFont="1" applyFill="1" applyBorder="1"/>
    <xf numFmtId="0" fontId="4" fillId="0" borderId="8" xfId="2" applyFont="1" applyFill="1" applyBorder="1"/>
    <xf numFmtId="0" fontId="0" fillId="0" borderId="5" xfId="2" applyFont="1" applyFill="1" applyBorder="1"/>
    <xf numFmtId="0" fontId="0" fillId="0" borderId="8" xfId="2" applyFont="1" applyFill="1" applyBorder="1"/>
    <xf numFmtId="0" fontId="0" fillId="0" borderId="55" xfId="2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0" fontId="0" fillId="0" borderId="0" xfId="2" applyFont="1" applyFill="1" applyBorder="1"/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6" xfId="0" applyFont="1" applyBorder="1" applyAlignment="1">
      <alignment horizontal="right"/>
    </xf>
    <xf numFmtId="3" fontId="20" fillId="0" borderId="16" xfId="1" applyNumberFormat="1" applyFont="1" applyFill="1" applyBorder="1" applyProtection="1">
      <protection locked="0"/>
    </xf>
    <xf numFmtId="3" fontId="7" fillId="0" borderId="19" xfId="1" applyNumberFormat="1" applyFont="1" applyFill="1" applyBorder="1" applyProtection="1">
      <protection locked="0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2" xfId="0" applyFont="1" applyBorder="1" applyAlignment="1">
      <alignment horizontal="right" vertical="top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0" fontId="20" fillId="0" borderId="15" xfId="1" applyFont="1" applyFill="1" applyBorder="1" applyAlignment="1">
      <alignment wrapText="1"/>
    </xf>
    <xf numFmtId="3" fontId="9" fillId="0" borderId="22" xfId="0" applyFont="1" applyFill="1" applyBorder="1" applyAlignment="1">
      <alignment horizontal="right"/>
    </xf>
    <xf numFmtId="3" fontId="9" fillId="0" borderId="26" xfId="0" applyFont="1" applyFill="1" applyBorder="1" applyAlignment="1">
      <alignment horizontal="right"/>
    </xf>
    <xf numFmtId="3" fontId="13" fillId="0" borderId="55" xfId="0" applyFont="1" applyFill="1" applyBorder="1"/>
    <xf numFmtId="3" fontId="8" fillId="0" borderId="19" xfId="0" applyNumberFormat="1" applyFont="1" applyFill="1" applyBorder="1"/>
    <xf numFmtId="3" fontId="13" fillId="0" borderId="23" xfId="0" applyFont="1" applyBorder="1" applyAlignment="1">
      <alignment horizontal="right"/>
    </xf>
    <xf numFmtId="3" fontId="17" fillId="7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/>
    </xf>
    <xf numFmtId="3" fontId="17" fillId="7" borderId="2" xfId="0" applyNumberFormat="1" applyFont="1" applyFill="1" applyBorder="1" applyAlignment="1">
      <alignment horizontal="center" vertical="center"/>
    </xf>
    <xf numFmtId="3" fontId="7" fillId="7" borderId="6" xfId="0" applyNumberFormat="1" applyFont="1" applyFill="1" applyBorder="1"/>
    <xf numFmtId="164" fontId="7" fillId="7" borderId="35" xfId="0" applyNumberFormat="1" applyFont="1" applyFill="1" applyBorder="1"/>
    <xf numFmtId="3" fontId="7" fillId="7" borderId="9" xfId="0" applyNumberFormat="1" applyFont="1" applyFill="1" applyBorder="1"/>
    <xf numFmtId="164" fontId="32" fillId="7" borderId="24" xfId="0" applyNumberFormat="1" applyFont="1" applyFill="1" applyBorder="1"/>
    <xf numFmtId="164" fontId="9" fillId="7" borderId="35" xfId="0" applyNumberFormat="1" applyFont="1" applyFill="1" applyBorder="1"/>
    <xf numFmtId="164" fontId="8" fillId="7" borderId="31" xfId="0" applyNumberFormat="1" applyFont="1" applyFill="1" applyBorder="1"/>
    <xf numFmtId="3" fontId="32" fillId="7" borderId="19" xfId="0" applyNumberFormat="1" applyFont="1" applyFill="1" applyBorder="1" applyAlignment="1"/>
    <xf numFmtId="0" fontId="20" fillId="0" borderId="39" xfId="1" applyFont="1" applyFill="1" applyBorder="1"/>
    <xf numFmtId="3" fontId="21" fillId="0" borderId="39" xfId="1" applyNumberFormat="1" applyFont="1" applyFill="1" applyBorder="1" applyAlignment="1">
      <alignment horizontal="center"/>
    </xf>
    <xf numFmtId="3" fontId="20" fillId="0" borderId="39" xfId="1" applyNumberFormat="1" applyFont="1" applyFill="1" applyBorder="1"/>
    <xf numFmtId="3" fontId="25" fillId="0" borderId="0" xfId="1" applyNumberFormat="1" applyFont="1" applyFill="1" applyBorder="1"/>
    <xf numFmtId="3" fontId="7" fillId="0" borderId="0" xfId="2" applyNumberFormat="1" applyFont="1" applyBorder="1"/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8" xfId="0" applyNumberFormat="1" applyFont="1" applyFill="1" applyBorder="1"/>
    <xf numFmtId="3" fontId="9" fillId="7" borderId="28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3" fontId="13" fillId="0" borderId="56" xfId="0" applyFont="1" applyBorder="1" applyAlignment="1">
      <alignment horizontal="right"/>
    </xf>
    <xf numFmtId="3" fontId="16" fillId="0" borderId="43" xfId="1" applyNumberFormat="1" applyFont="1" applyFill="1" applyBorder="1" applyAlignment="1">
      <alignment horizontal="center"/>
    </xf>
    <xf numFmtId="1" fontId="21" fillId="0" borderId="16" xfId="1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1" fontId="12" fillId="7" borderId="37" xfId="0" applyNumberFormat="1" applyFont="1" applyFill="1" applyBorder="1" applyAlignment="1">
      <alignment horizontal="left" wrapText="1"/>
    </xf>
    <xf numFmtId="3" fontId="0" fillId="7" borderId="38" xfId="0" applyFill="1" applyBorder="1" applyAlignment="1">
      <alignment wrapText="1"/>
    </xf>
    <xf numFmtId="1" fontId="8" fillId="7" borderId="10" xfId="0" applyNumberFormat="1" applyFont="1" applyFill="1" applyBorder="1" applyAlignment="1">
      <alignment horizontal="left" wrapText="1"/>
    </xf>
    <xf numFmtId="3" fontId="0" fillId="7" borderId="36" xfId="0" applyFill="1" applyBorder="1" applyAlignment="1"/>
    <xf numFmtId="3" fontId="17" fillId="7" borderId="41" xfId="0" applyFont="1" applyFill="1" applyBorder="1" applyAlignment="1">
      <alignment horizontal="center" vertical="center" wrapText="1"/>
    </xf>
    <xf numFmtId="3" fontId="0" fillId="7" borderId="40" xfId="0" applyFill="1" applyBorder="1" applyAlignment="1">
      <alignment wrapText="1"/>
    </xf>
    <xf numFmtId="3" fontId="7" fillId="7" borderId="32" xfId="0" applyFont="1" applyFill="1" applyBorder="1" applyAlignment="1">
      <alignment wrapText="1"/>
    </xf>
    <xf numFmtId="3" fontId="0" fillId="7" borderId="30" xfId="0" applyFill="1" applyBorder="1" applyAlignment="1">
      <alignment wrapText="1"/>
    </xf>
    <xf numFmtId="3" fontId="7" fillId="7" borderId="17" xfId="0" applyFont="1" applyFill="1" applyBorder="1" applyAlignment="1">
      <alignment wrapText="1"/>
    </xf>
    <xf numFmtId="3" fontId="0" fillId="7" borderId="42" xfId="0" applyFill="1" applyBorder="1" applyAlignment="1">
      <alignment wrapText="1"/>
    </xf>
    <xf numFmtId="3" fontId="32" fillId="7" borderId="10" xfId="0" applyFont="1" applyFill="1" applyBorder="1" applyAlignment="1">
      <alignment wrapText="1"/>
    </xf>
    <xf numFmtId="3" fontId="0" fillId="7" borderId="36" xfId="0" applyFill="1" applyBorder="1" applyAlignment="1">
      <alignment wrapText="1"/>
    </xf>
    <xf numFmtId="0" fontId="30" fillId="0" borderId="37" xfId="1" applyFont="1" applyFill="1" applyBorder="1" applyAlignment="1"/>
    <xf numFmtId="0" fontId="30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13" fillId="0" borderId="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3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11148081</c:v>
                </c:pt>
                <c:pt idx="1">
                  <c:v>11383070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2227499</c:v>
                </c:pt>
                <c:pt idx="1">
                  <c:v>1620841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11148081</c:v>
                </c:pt>
                <c:pt idx="1">
                  <c:v>11383070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2227499</c:v>
                </c:pt>
                <c:pt idx="1">
                  <c:v>1620841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11148081</c:v>
                </c:pt>
                <c:pt idx="1">
                  <c:v>11383070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2227499</c:v>
                </c:pt>
                <c:pt idx="1">
                  <c:v>1620841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Normal="100" zoomScaleSheetLayoutView="100" workbookViewId="0">
      <selection activeCell="D8" sqref="D8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212" customWidth="1"/>
    <col min="4" max="4" width="15.7109375" style="212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114</v>
      </c>
    </row>
    <row r="3" spans="1:7" x14ac:dyDescent="0.2">
      <c r="A3" s="340" t="s">
        <v>133</v>
      </c>
      <c r="B3" s="340"/>
      <c r="C3" s="340"/>
      <c r="D3" s="340"/>
      <c r="E3" s="340"/>
    </row>
    <row r="4" spans="1:7" ht="30.75" customHeight="1" x14ac:dyDescent="0.2">
      <c r="A4" s="340"/>
      <c r="B4" s="340"/>
      <c r="C4" s="340"/>
      <c r="D4" s="340"/>
      <c r="E4" s="340"/>
    </row>
    <row r="6" spans="1:7" ht="13.5" thickBot="1" x14ac:dyDescent="0.25">
      <c r="B6" s="12"/>
      <c r="C6" s="218"/>
      <c r="D6" s="213"/>
      <c r="E6" s="3" t="s">
        <v>0</v>
      </c>
    </row>
    <row r="7" spans="1:7" s="14" customFormat="1" ht="18.75" customHeight="1" thickTop="1" thickBot="1" x14ac:dyDescent="0.25">
      <c r="A7" s="13" t="s">
        <v>1</v>
      </c>
      <c r="B7" s="4" t="s">
        <v>2</v>
      </c>
      <c r="C7" s="214" t="s">
        <v>3</v>
      </c>
      <c r="D7" s="214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14">
        <v>3</v>
      </c>
      <c r="D8" s="214">
        <v>4</v>
      </c>
      <c r="E8" s="8" t="s">
        <v>6</v>
      </c>
    </row>
    <row r="9" spans="1:7" ht="18.95" customHeight="1" thickTop="1" x14ac:dyDescent="0.2">
      <c r="A9" s="276" t="s">
        <v>11</v>
      </c>
      <c r="B9" s="289">
        <v>4101290</v>
      </c>
      <c r="C9" s="300">
        <v>4101290</v>
      </c>
      <c r="D9" s="300">
        <v>677633</v>
      </c>
      <c r="E9" s="110">
        <f t="shared" ref="E9:E15" si="0">(D9/C9)*100</f>
        <v>16.522435623913452</v>
      </c>
    </row>
    <row r="10" spans="1:7" ht="18.95" customHeight="1" x14ac:dyDescent="0.2">
      <c r="A10" s="276" t="s">
        <v>12</v>
      </c>
      <c r="B10" s="290">
        <v>302929</v>
      </c>
      <c r="C10" s="300">
        <v>310239</v>
      </c>
      <c r="D10" s="300">
        <v>37762</v>
      </c>
      <c r="E10" s="111">
        <f>(D10/C10)*100</f>
        <v>12.171906175561421</v>
      </c>
    </row>
    <row r="11" spans="1:7" ht="18.95" customHeight="1" x14ac:dyDescent="0.2">
      <c r="A11" s="276" t="s">
        <v>13</v>
      </c>
      <c r="B11" s="290">
        <v>13200</v>
      </c>
      <c r="C11" s="300">
        <v>13200</v>
      </c>
      <c r="D11" s="300">
        <v>2501</v>
      </c>
      <c r="E11" s="111">
        <f t="shared" si="0"/>
        <v>18.946969696969699</v>
      </c>
    </row>
    <row r="12" spans="1:7" ht="18.95" customHeight="1" x14ac:dyDescent="0.2">
      <c r="A12" s="277" t="s">
        <v>14</v>
      </c>
      <c r="B12" s="291">
        <v>145676</v>
      </c>
      <c r="C12" s="301">
        <v>6731592</v>
      </c>
      <c r="D12" s="301">
        <f>3426280-1916677+D14</f>
        <v>1530351</v>
      </c>
      <c r="E12" s="111">
        <f t="shared" si="0"/>
        <v>22.733864440982163</v>
      </c>
      <c r="G12" s="15"/>
    </row>
    <row r="13" spans="1:7" ht="18.95" customHeight="1" x14ac:dyDescent="0.25">
      <c r="A13" s="16" t="s">
        <v>9</v>
      </c>
      <c r="B13" s="292">
        <f>SUM(B9:B12)</f>
        <v>4563095</v>
      </c>
      <c r="C13" s="302">
        <f>SUM(C9:C12)</f>
        <v>11156321</v>
      </c>
      <c r="D13" s="302">
        <f>SUM(D9:D12)</f>
        <v>2248247</v>
      </c>
      <c r="E13" s="114">
        <f t="shared" si="0"/>
        <v>20.152225809924257</v>
      </c>
    </row>
    <row r="14" spans="1:7" s="9" customFormat="1" ht="21.75" customHeight="1" x14ac:dyDescent="0.2">
      <c r="A14" s="10" t="s">
        <v>7</v>
      </c>
      <c r="B14" s="289">
        <v>8240</v>
      </c>
      <c r="C14" s="303">
        <v>8240</v>
      </c>
      <c r="D14" s="300">
        <v>20748</v>
      </c>
      <c r="E14" s="111">
        <f t="shared" si="0"/>
        <v>251.79611650485438</v>
      </c>
    </row>
    <row r="15" spans="1:7" s="9" customFormat="1" ht="52.5" customHeight="1" thickBot="1" x14ac:dyDescent="0.3">
      <c r="A15" s="11" t="s">
        <v>8</v>
      </c>
      <c r="B15" s="293">
        <f>B13-B14</f>
        <v>4554855</v>
      </c>
      <c r="C15" s="304">
        <f>C13-C14</f>
        <v>11148081</v>
      </c>
      <c r="D15" s="304">
        <f>D13-D14</f>
        <v>2227499</v>
      </c>
      <c r="E15" s="113">
        <f t="shared" si="0"/>
        <v>19.981008390592066</v>
      </c>
    </row>
    <row r="16" spans="1:7" ht="13.5" thickTop="1" x14ac:dyDescent="0.2">
      <c r="A16" s="278"/>
      <c r="B16" s="278"/>
      <c r="C16" s="279"/>
      <c r="D16" s="279"/>
      <c r="E16" s="278"/>
    </row>
    <row r="17" spans="1:7" x14ac:dyDescent="0.2">
      <c r="A17" s="341" t="s">
        <v>10</v>
      </c>
      <c r="B17" s="341"/>
      <c r="C17" s="341"/>
      <c r="D17" s="341"/>
      <c r="E17" s="341"/>
    </row>
    <row r="18" spans="1:7" x14ac:dyDescent="0.2">
      <c r="A18" s="341"/>
      <c r="B18" s="341"/>
      <c r="C18" s="341"/>
      <c r="D18" s="341"/>
      <c r="E18" s="341"/>
      <c r="F18" s="17"/>
      <c r="G18" s="17"/>
    </row>
    <row r="19" spans="1:7" x14ac:dyDescent="0.2">
      <c r="A19" s="278"/>
      <c r="B19" s="278"/>
      <c r="C19" s="279"/>
      <c r="D19" s="279"/>
      <c r="E19" s="278"/>
      <c r="F19" s="17"/>
      <c r="G19" s="17"/>
    </row>
    <row r="20" spans="1:7" x14ac:dyDescent="0.2">
      <c r="A20" s="278"/>
      <c r="B20" s="278"/>
      <c r="C20" s="279"/>
      <c r="D20" s="279"/>
      <c r="E20" s="278"/>
      <c r="F20" s="17"/>
      <c r="G20" s="17"/>
    </row>
    <row r="21" spans="1:7" x14ac:dyDescent="0.2">
      <c r="A21" s="278"/>
      <c r="B21" s="278"/>
      <c r="C21" s="279"/>
      <c r="D21" s="279"/>
      <c r="E21" s="278"/>
    </row>
    <row r="27" spans="1:7" x14ac:dyDescent="0.2">
      <c r="C27" s="2"/>
      <c r="D27" s="2"/>
    </row>
  </sheetData>
  <mergeCells count="2">
    <mergeCell ref="A3:E4"/>
    <mergeCell ref="A17:E18"/>
  </mergeCells>
  <phoneticPr fontId="5" type="noConversion"/>
  <pageMargins left="0.98425196850393704" right="0" top="0.98425196850393704" bottom="0.98425196850393704" header="0.51181102362204722" footer="0.51181102362204722"/>
  <pageSetup paperSize="9" scale="83" firstPageNumber="2" orientation="portrait" cellComments="asDisplayed" useFirstPageNumber="1" r:id="rId1"/>
  <headerFooter alignWithMargins="0">
    <oddFooter xml:space="preserve">&amp;L&amp;"Arial CE,Kurzíva"Zastupitelstvo Olomouckého kraje 24-04-2017
6.3.-Rozpočet Olomouckého kraje 2017-plnění rozpočtu k 28. 2. 2017
Příloha č. 1-Plnění rozpočtu Olomouckého kraje k 28. 2. 2017&amp;R&amp;"Arial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50"/>
  <sheetViews>
    <sheetView showGridLines="0" view="pageBreakPreview" topLeftCell="A66" zoomScale="110" zoomScaleNormal="100" zoomScaleSheetLayoutView="110" workbookViewId="0">
      <selection activeCell="H130" sqref="H130"/>
    </sheetView>
  </sheetViews>
  <sheetFormatPr defaultColWidth="9.140625" defaultRowHeight="14.25" x14ac:dyDescent="0.2"/>
  <cols>
    <col min="1" max="1" width="42" style="275" customWidth="1"/>
    <col min="2" max="2" width="5.140625" style="147" customWidth="1"/>
    <col min="3" max="3" width="14.85546875" style="162" customWidth="1"/>
    <col min="4" max="4" width="17.140625" style="162" customWidth="1"/>
    <col min="5" max="5" width="15.7109375" style="162" customWidth="1"/>
    <col min="6" max="6" width="7.28515625" style="162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56" t="s">
        <v>115</v>
      </c>
      <c r="B1" s="357"/>
      <c r="C1" s="357"/>
      <c r="D1" s="357"/>
      <c r="E1" s="357"/>
      <c r="F1" s="357"/>
      <c r="G1" s="18"/>
      <c r="H1" s="18"/>
      <c r="I1" s="18"/>
      <c r="K1" s="20"/>
    </row>
    <row r="2" spans="1:14" ht="23.25" x14ac:dyDescent="0.35">
      <c r="A2" s="358"/>
      <c r="B2" s="358"/>
      <c r="C2" s="358"/>
      <c r="D2" s="358"/>
      <c r="E2" s="358"/>
      <c r="F2" s="358"/>
      <c r="G2" s="22"/>
      <c r="H2" s="22"/>
      <c r="I2" s="22"/>
      <c r="K2" s="20"/>
    </row>
    <row r="3" spans="1:14" ht="15" x14ac:dyDescent="0.25">
      <c r="A3" s="23"/>
    </row>
    <row r="4" spans="1:14" ht="15" thickBot="1" x14ac:dyDescent="0.25">
      <c r="F4" s="27" t="s">
        <v>0</v>
      </c>
      <c r="G4" s="27"/>
      <c r="H4" s="27"/>
      <c r="I4" s="27"/>
    </row>
    <row r="5" spans="1:14" s="29" customFormat="1" thickTop="1" thickBot="1" x14ac:dyDescent="0.25">
      <c r="A5" s="201" t="s">
        <v>15</v>
      </c>
      <c r="B5" s="202" t="s">
        <v>16</v>
      </c>
      <c r="C5" s="203" t="s">
        <v>17</v>
      </c>
      <c r="D5" s="203" t="s">
        <v>18</v>
      </c>
      <c r="E5" s="203" t="s">
        <v>4</v>
      </c>
      <c r="F5" s="204" t="s">
        <v>5</v>
      </c>
      <c r="G5" s="28"/>
      <c r="H5" s="28"/>
      <c r="I5" s="28"/>
      <c r="J5" s="98"/>
      <c r="K5" s="89"/>
      <c r="N5" s="30"/>
    </row>
    <row r="6" spans="1:14" s="29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182" t="s">
        <v>86</v>
      </c>
      <c r="G6" s="28"/>
      <c r="H6" s="28"/>
      <c r="I6" s="28"/>
      <c r="J6" s="98"/>
      <c r="K6" s="89"/>
      <c r="N6" s="30"/>
    </row>
    <row r="7" spans="1:14" s="23" customFormat="1" ht="15.75" thickTop="1" x14ac:dyDescent="0.25">
      <c r="A7" s="31" t="s">
        <v>19</v>
      </c>
      <c r="B7" s="148">
        <v>1</v>
      </c>
      <c r="C7" s="119">
        <f>C8+C9+C10+C11+C12</f>
        <v>28939</v>
      </c>
      <c r="D7" s="119">
        <f>D8+D9+D10+D11+D12</f>
        <v>28879</v>
      </c>
      <c r="E7" s="119">
        <f>E8+E9+E10+E11+E12</f>
        <v>2586</v>
      </c>
      <c r="F7" s="112">
        <f t="shared" ref="F7:F38" si="0">(E7/D7)*100</f>
        <v>8.9546036912635483</v>
      </c>
      <c r="G7" s="32"/>
      <c r="H7" s="32"/>
      <c r="I7" s="32"/>
      <c r="J7" s="94"/>
      <c r="K7" s="90"/>
      <c r="N7" s="33"/>
    </row>
    <row r="8" spans="1:14" s="38" customFormat="1" x14ac:dyDescent="0.2">
      <c r="A8" s="34" t="s">
        <v>20</v>
      </c>
      <c r="B8" s="68"/>
      <c r="C8" s="36">
        <f>28939-C12</f>
        <v>28633</v>
      </c>
      <c r="D8" s="36">
        <f>28879-D12</f>
        <v>28573</v>
      </c>
      <c r="E8" s="36">
        <f>2586-E12</f>
        <v>2398</v>
      </c>
      <c r="F8" s="111">
        <f t="shared" si="0"/>
        <v>8.392538410387429</v>
      </c>
      <c r="G8" s="37"/>
      <c r="H8" s="37"/>
      <c r="I8" s="37"/>
      <c r="J8" s="94"/>
      <c r="K8" s="78"/>
      <c r="N8" s="39"/>
    </row>
    <row r="9" spans="1:14" s="38" customFormat="1" x14ac:dyDescent="0.2">
      <c r="A9" s="34" t="s">
        <v>21</v>
      </c>
      <c r="B9" s="165"/>
      <c r="C9" s="36">
        <v>0</v>
      </c>
      <c r="D9" s="36">
        <v>0</v>
      </c>
      <c r="E9" s="36">
        <v>0</v>
      </c>
      <c r="F9" s="111">
        <v>0</v>
      </c>
      <c r="G9" s="37"/>
      <c r="H9" s="37"/>
      <c r="I9" s="37"/>
      <c r="J9" s="94"/>
      <c r="K9" s="78"/>
      <c r="N9" s="39"/>
    </row>
    <row r="10" spans="1:14" s="38" customFormat="1" x14ac:dyDescent="0.2">
      <c r="A10" s="286" t="s">
        <v>106</v>
      </c>
      <c r="B10" s="68"/>
      <c r="C10" s="36">
        <v>0</v>
      </c>
      <c r="D10" s="36">
        <v>0</v>
      </c>
      <c r="E10" s="36">
        <v>0</v>
      </c>
      <c r="F10" s="111">
        <v>0</v>
      </c>
      <c r="G10" s="37"/>
      <c r="H10" s="121"/>
      <c r="I10" s="121"/>
      <c r="J10" s="121"/>
      <c r="K10" s="78"/>
      <c r="N10" s="39"/>
    </row>
    <row r="11" spans="1:14" s="38" customFormat="1" x14ac:dyDescent="0.2">
      <c r="A11" s="286" t="s">
        <v>107</v>
      </c>
      <c r="B11" s="68"/>
      <c r="C11" s="36">
        <v>0</v>
      </c>
      <c r="D11" s="36">
        <v>0</v>
      </c>
      <c r="E11" s="36">
        <v>0</v>
      </c>
      <c r="F11" s="111">
        <v>0</v>
      </c>
      <c r="G11" s="37"/>
      <c r="H11" s="37"/>
      <c r="I11" s="37"/>
      <c r="J11" s="37"/>
      <c r="K11" s="78"/>
      <c r="N11" s="39"/>
    </row>
    <row r="12" spans="1:14" s="38" customFormat="1" x14ac:dyDescent="0.2">
      <c r="A12" s="287" t="s">
        <v>108</v>
      </c>
      <c r="B12" s="267"/>
      <c r="C12" s="41">
        <v>306</v>
      </c>
      <c r="D12" s="41">
        <v>306</v>
      </c>
      <c r="E12" s="41">
        <v>188</v>
      </c>
      <c r="F12" s="115">
        <f t="shared" si="0"/>
        <v>61.437908496732028</v>
      </c>
      <c r="G12" s="37"/>
      <c r="H12" s="37"/>
      <c r="I12" s="37"/>
      <c r="J12" s="37"/>
      <c r="K12" s="78"/>
      <c r="N12" s="39"/>
    </row>
    <row r="13" spans="1:14" s="43" customFormat="1" ht="15" x14ac:dyDescent="0.25">
      <c r="A13" s="42" t="s">
        <v>102</v>
      </c>
      <c r="B13" s="149">
        <v>3</v>
      </c>
      <c r="C13" s="266">
        <f>C14+C15+C16+C17+C18</f>
        <v>375861</v>
      </c>
      <c r="D13" s="266">
        <f>D14+D15+D16+D17+D18</f>
        <v>376462</v>
      </c>
      <c r="E13" s="266">
        <f>E14+E15+E16+E17+E18</f>
        <v>38750</v>
      </c>
      <c r="F13" s="112">
        <f t="shared" si="0"/>
        <v>10.293203563706298</v>
      </c>
      <c r="G13" s="281"/>
      <c r="H13" s="32"/>
      <c r="I13" s="32"/>
      <c r="J13" s="32"/>
      <c r="K13" s="90"/>
      <c r="N13" s="44"/>
    </row>
    <row r="14" spans="1:14" s="43" customFormat="1" x14ac:dyDescent="0.2">
      <c r="A14" s="34" t="s">
        <v>20</v>
      </c>
      <c r="B14" s="46"/>
      <c r="C14" s="36">
        <f>375861-C15-C16-C17-C18</f>
        <v>365367</v>
      </c>
      <c r="D14" s="36">
        <f>376462-D15-D16-D17-D18</f>
        <v>365953</v>
      </c>
      <c r="E14" s="36">
        <f>38750-E15-E16-E17-E18</f>
        <v>35250</v>
      </c>
      <c r="F14" s="111">
        <f t="shared" si="0"/>
        <v>9.6323844865324233</v>
      </c>
      <c r="G14" s="37"/>
      <c r="H14" s="37"/>
      <c r="I14" s="37"/>
      <c r="J14" s="37"/>
      <c r="K14" s="78"/>
      <c r="N14" s="44"/>
    </row>
    <row r="15" spans="1:14" s="43" customFormat="1" x14ac:dyDescent="0.2">
      <c r="A15" s="34" t="s">
        <v>21</v>
      </c>
      <c r="B15" s="46"/>
      <c r="C15" s="36">
        <v>2560</v>
      </c>
      <c r="D15" s="36">
        <v>2560</v>
      </c>
      <c r="E15" s="36">
        <v>0</v>
      </c>
      <c r="F15" s="111">
        <f t="shared" si="0"/>
        <v>0</v>
      </c>
      <c r="G15" s="37"/>
      <c r="H15" s="37"/>
      <c r="I15" s="37"/>
      <c r="J15" s="37"/>
      <c r="K15" s="78"/>
      <c r="N15" s="44"/>
    </row>
    <row r="16" spans="1:14" s="38" customFormat="1" x14ac:dyDescent="0.2">
      <c r="A16" s="286" t="s">
        <v>106</v>
      </c>
      <c r="B16" s="68"/>
      <c r="C16" s="36">
        <v>0</v>
      </c>
      <c r="D16" s="36">
        <v>15</v>
      </c>
      <c r="E16" s="36">
        <v>0</v>
      </c>
      <c r="F16" s="111">
        <f t="shared" si="0"/>
        <v>0</v>
      </c>
      <c r="G16" s="37"/>
      <c r="H16" s="121"/>
      <c r="I16" s="121"/>
      <c r="J16" s="121"/>
      <c r="K16" s="78"/>
      <c r="N16" s="39"/>
    </row>
    <row r="17" spans="1:14" s="38" customFormat="1" x14ac:dyDescent="0.2">
      <c r="A17" s="286" t="s">
        <v>107</v>
      </c>
      <c r="B17" s="68"/>
      <c r="C17" s="36">
        <v>0</v>
      </c>
      <c r="D17" s="36">
        <v>0</v>
      </c>
      <c r="E17" s="36">
        <v>0</v>
      </c>
      <c r="F17" s="111">
        <v>0</v>
      </c>
      <c r="G17" s="37"/>
      <c r="H17" s="37"/>
      <c r="I17" s="37"/>
      <c r="J17" s="37"/>
      <c r="K17" s="78"/>
      <c r="N17" s="39"/>
    </row>
    <row r="18" spans="1:14" s="38" customFormat="1" x14ac:dyDescent="0.2">
      <c r="A18" s="287" t="s">
        <v>108</v>
      </c>
      <c r="B18" s="68"/>
      <c r="C18" s="36">
        <v>7934</v>
      </c>
      <c r="D18" s="36">
        <v>7934</v>
      </c>
      <c r="E18" s="36">
        <v>3500</v>
      </c>
      <c r="F18" s="115">
        <f t="shared" si="0"/>
        <v>44.113940005041592</v>
      </c>
      <c r="G18" s="37"/>
      <c r="H18" s="37"/>
      <c r="I18" s="37"/>
      <c r="J18" s="37"/>
      <c r="K18" s="78"/>
      <c r="N18" s="39"/>
    </row>
    <row r="19" spans="1:14" s="43" customFormat="1" ht="15" x14ac:dyDescent="0.25">
      <c r="A19" s="361" t="s">
        <v>111</v>
      </c>
      <c r="B19" s="149">
        <v>4</v>
      </c>
      <c r="C19" s="266">
        <f>C21+C22+C23+C24</f>
        <v>7508</v>
      </c>
      <c r="D19" s="266">
        <f>D21+D22+D23+D24</f>
        <v>8628</v>
      </c>
      <c r="E19" s="266">
        <f>E21+E22+E23+E24</f>
        <v>4137</v>
      </c>
      <c r="F19" s="112">
        <f t="shared" si="0"/>
        <v>47.948539638386649</v>
      </c>
      <c r="G19" s="281"/>
      <c r="H19" s="32"/>
      <c r="I19" s="32"/>
      <c r="J19" s="32"/>
      <c r="K19" s="90"/>
      <c r="N19" s="44"/>
    </row>
    <row r="20" spans="1:14" s="43" customFormat="1" ht="15" x14ac:dyDescent="0.25">
      <c r="A20" s="362"/>
      <c r="B20" s="46"/>
      <c r="C20" s="36"/>
      <c r="D20" s="36"/>
      <c r="E20" s="268"/>
      <c r="F20" s="112"/>
      <c r="G20" s="281"/>
      <c r="H20" s="32"/>
      <c r="I20" s="32"/>
      <c r="J20" s="32"/>
      <c r="K20" s="90"/>
      <c r="N20" s="44"/>
    </row>
    <row r="21" spans="1:14" s="43" customFormat="1" x14ac:dyDescent="0.2">
      <c r="A21" s="34" t="s">
        <v>20</v>
      </c>
      <c r="B21" s="46"/>
      <c r="C21" s="36">
        <f>7508-C22</f>
        <v>4307</v>
      </c>
      <c r="D21" s="36">
        <f>8628-D22</f>
        <v>4567</v>
      </c>
      <c r="E21" s="36">
        <f>4137-E22</f>
        <v>1599</v>
      </c>
      <c r="F21" s="111">
        <f t="shared" si="0"/>
        <v>35.012042916575432</v>
      </c>
      <c r="G21" s="37"/>
      <c r="H21" s="37"/>
      <c r="I21" s="37"/>
      <c r="J21" s="37"/>
      <c r="K21" s="78"/>
      <c r="N21" s="44"/>
    </row>
    <row r="22" spans="1:14" s="43" customFormat="1" x14ac:dyDescent="0.2">
      <c r="A22" s="34" t="s">
        <v>21</v>
      </c>
      <c r="B22" s="46"/>
      <c r="C22" s="36">
        <v>3201</v>
      </c>
      <c r="D22" s="36">
        <v>4061</v>
      </c>
      <c r="E22" s="36">
        <v>2538</v>
      </c>
      <c r="F22" s="111">
        <f t="shared" si="0"/>
        <v>62.496921940408768</v>
      </c>
      <c r="G22" s="37"/>
      <c r="H22" s="37"/>
      <c r="I22" s="37"/>
      <c r="J22" s="37"/>
      <c r="K22" s="78"/>
      <c r="N22" s="44"/>
    </row>
    <row r="23" spans="1:14" s="38" customFormat="1" x14ac:dyDescent="0.2">
      <c r="A23" s="286" t="s">
        <v>106</v>
      </c>
      <c r="B23" s="68"/>
      <c r="C23" s="36">
        <v>0</v>
      </c>
      <c r="D23" s="36">
        <v>0</v>
      </c>
      <c r="E23" s="36">
        <v>0</v>
      </c>
      <c r="F23" s="111">
        <v>0</v>
      </c>
      <c r="G23" s="37"/>
      <c r="H23" s="121"/>
      <c r="I23" s="121"/>
      <c r="J23" s="121"/>
      <c r="K23" s="78"/>
      <c r="N23" s="39"/>
    </row>
    <row r="24" spans="1:14" s="38" customFormat="1" x14ac:dyDescent="0.2">
      <c r="A24" s="286" t="s">
        <v>107</v>
      </c>
      <c r="B24" s="267"/>
      <c r="C24" s="41">
        <v>0</v>
      </c>
      <c r="D24" s="41">
        <v>0</v>
      </c>
      <c r="E24" s="41">
        <v>0</v>
      </c>
      <c r="F24" s="115">
        <v>0</v>
      </c>
      <c r="G24" s="37"/>
      <c r="H24" s="37"/>
      <c r="I24" s="37"/>
      <c r="J24" s="37"/>
      <c r="K24" s="78"/>
      <c r="N24" s="39"/>
    </row>
    <row r="25" spans="1:14" s="43" customFormat="1" ht="15" x14ac:dyDescent="0.25">
      <c r="A25" s="42" t="s">
        <v>25</v>
      </c>
      <c r="B25" s="149">
        <v>7</v>
      </c>
      <c r="C25" s="266">
        <f>C26+C27+C28+C29</f>
        <v>583373</v>
      </c>
      <c r="D25" s="266">
        <f>D26+D27+D28+D29</f>
        <v>586425</v>
      </c>
      <c r="E25" s="266">
        <f>E26+E27+E28+E29</f>
        <v>7209</v>
      </c>
      <c r="F25" s="112">
        <f t="shared" si="0"/>
        <v>1.2293132114081085</v>
      </c>
      <c r="G25" s="32"/>
      <c r="H25" s="32"/>
      <c r="I25" s="32"/>
      <c r="J25" s="32"/>
      <c r="K25" s="90"/>
      <c r="N25" s="44"/>
    </row>
    <row r="26" spans="1:14" s="43" customFormat="1" x14ac:dyDescent="0.2">
      <c r="A26" s="34" t="s">
        <v>20</v>
      </c>
      <c r="B26" s="46"/>
      <c r="C26" s="36">
        <v>583373</v>
      </c>
      <c r="D26" s="36">
        <f>586425-D28</f>
        <v>585054</v>
      </c>
      <c r="E26" s="36">
        <f>1903138-1895929</f>
        <v>7209</v>
      </c>
      <c r="F26" s="111">
        <f>(E26/D26)*100</f>
        <v>1.2321939513275699</v>
      </c>
      <c r="G26" s="37"/>
      <c r="H26" s="37"/>
      <c r="I26" s="37"/>
      <c r="J26" s="37"/>
      <c r="K26" s="78"/>
      <c r="N26" s="44"/>
    </row>
    <row r="27" spans="1:14" s="43" customFormat="1" x14ac:dyDescent="0.2">
      <c r="A27" s="34" t="s">
        <v>21</v>
      </c>
      <c r="B27" s="46"/>
      <c r="C27" s="36">
        <v>0</v>
      </c>
      <c r="D27" s="36">
        <v>0</v>
      </c>
      <c r="E27" s="36">
        <v>0</v>
      </c>
      <c r="F27" s="111">
        <v>0</v>
      </c>
      <c r="G27" s="37"/>
      <c r="H27" s="37"/>
      <c r="I27" s="37"/>
      <c r="J27" s="37"/>
      <c r="K27" s="78"/>
      <c r="N27" s="44"/>
    </row>
    <row r="28" spans="1:14" s="38" customFormat="1" x14ac:dyDescent="0.2">
      <c r="A28" s="286" t="s">
        <v>106</v>
      </c>
      <c r="B28" s="68"/>
      <c r="C28" s="36">
        <v>0</v>
      </c>
      <c r="D28" s="36">
        <v>1371</v>
      </c>
      <c r="E28" s="36">
        <v>0</v>
      </c>
      <c r="F28" s="111">
        <v>0</v>
      </c>
      <c r="G28" s="37"/>
      <c r="H28" s="121"/>
      <c r="I28" s="121"/>
      <c r="J28" s="121"/>
      <c r="K28" s="78"/>
      <c r="N28" s="39"/>
    </row>
    <row r="29" spans="1:14" s="38" customFormat="1" x14ac:dyDescent="0.2">
      <c r="A29" s="286" t="s">
        <v>107</v>
      </c>
      <c r="B29" s="68"/>
      <c r="C29" s="36">
        <v>0</v>
      </c>
      <c r="D29" s="36">
        <v>0</v>
      </c>
      <c r="E29" s="36">
        <v>0</v>
      </c>
      <c r="F29" s="115">
        <v>0</v>
      </c>
      <c r="G29" s="37"/>
      <c r="H29" s="37"/>
      <c r="I29" s="37"/>
      <c r="J29" s="37"/>
      <c r="K29" s="78"/>
      <c r="N29" s="39"/>
    </row>
    <row r="30" spans="1:14" s="43" customFormat="1" ht="15" x14ac:dyDescent="0.25">
      <c r="A30" s="270" t="s">
        <v>112</v>
      </c>
      <c r="B30" s="149">
        <v>8</v>
      </c>
      <c r="C30" s="266">
        <f>C31+C32+C33+C34</f>
        <v>46241</v>
      </c>
      <c r="D30" s="266">
        <f>D31+D32+D33+D34</f>
        <v>46241</v>
      </c>
      <c r="E30" s="266">
        <f>E31+E32+E33+E34</f>
        <v>1132</v>
      </c>
      <c r="F30" s="112">
        <f t="shared" si="0"/>
        <v>2.448043943686339</v>
      </c>
      <c r="G30" s="32"/>
      <c r="H30" s="32"/>
      <c r="I30" s="32"/>
      <c r="J30" s="32"/>
      <c r="K30" s="90"/>
      <c r="N30" s="44"/>
    </row>
    <row r="31" spans="1:14" s="43" customFormat="1" x14ac:dyDescent="0.2">
      <c r="A31" s="34" t="s">
        <v>20</v>
      </c>
      <c r="B31" s="46"/>
      <c r="C31" s="36">
        <f>46241-C32</f>
        <v>44697</v>
      </c>
      <c r="D31" s="36">
        <f>46241-D32</f>
        <v>44697</v>
      </c>
      <c r="E31" s="36">
        <f>1132-E32</f>
        <v>861</v>
      </c>
      <c r="F31" s="111">
        <f t="shared" si="0"/>
        <v>1.9263037787770991</v>
      </c>
      <c r="G31" s="37"/>
      <c r="H31" s="37"/>
      <c r="I31" s="37"/>
      <c r="J31" s="37"/>
      <c r="K31" s="78"/>
      <c r="N31" s="44"/>
    </row>
    <row r="32" spans="1:14" s="43" customFormat="1" x14ac:dyDescent="0.2">
      <c r="A32" s="34" t="s">
        <v>21</v>
      </c>
      <c r="B32" s="46"/>
      <c r="C32" s="36">
        <v>1544</v>
      </c>
      <c r="D32" s="36">
        <v>1544</v>
      </c>
      <c r="E32" s="36">
        <v>271</v>
      </c>
      <c r="F32" s="111">
        <f t="shared" si="0"/>
        <v>17.551813471502591</v>
      </c>
      <c r="G32" s="37"/>
      <c r="H32" s="37"/>
      <c r="I32" s="37"/>
      <c r="J32" s="37"/>
      <c r="K32" s="78"/>
      <c r="N32" s="44"/>
    </row>
    <row r="33" spans="1:14" s="38" customFormat="1" x14ac:dyDescent="0.2">
      <c r="A33" s="286" t="s">
        <v>106</v>
      </c>
      <c r="B33" s="68"/>
      <c r="C33" s="36">
        <v>0</v>
      </c>
      <c r="D33" s="36">
        <v>0</v>
      </c>
      <c r="E33" s="36">
        <v>0</v>
      </c>
      <c r="F33" s="111">
        <v>0</v>
      </c>
      <c r="G33" s="37"/>
      <c r="H33" s="121"/>
      <c r="I33" s="121"/>
      <c r="J33" s="121"/>
      <c r="K33" s="78"/>
      <c r="N33" s="39"/>
    </row>
    <row r="34" spans="1:14" s="38" customFormat="1" x14ac:dyDescent="0.2">
      <c r="A34" s="286" t="s">
        <v>107</v>
      </c>
      <c r="B34" s="267"/>
      <c r="C34" s="41">
        <v>0</v>
      </c>
      <c r="D34" s="41">
        <v>0</v>
      </c>
      <c r="E34" s="41">
        <v>0</v>
      </c>
      <c r="F34" s="115">
        <v>0</v>
      </c>
      <c r="G34" s="37"/>
      <c r="H34" s="37"/>
      <c r="I34" s="37"/>
      <c r="J34" s="94"/>
      <c r="K34" s="78"/>
      <c r="N34" s="39"/>
    </row>
    <row r="35" spans="1:14" ht="15" customHeight="1" x14ac:dyDescent="0.25">
      <c r="A35" s="270" t="s">
        <v>26</v>
      </c>
      <c r="B35" s="149">
        <v>9</v>
      </c>
      <c r="C35" s="266">
        <f>C36+C37+C38+C39</f>
        <v>21479</v>
      </c>
      <c r="D35" s="298">
        <f>D36+D37+D38+D39</f>
        <v>21591</v>
      </c>
      <c r="E35" s="266">
        <f>E36+E37+E38+E39</f>
        <v>131</v>
      </c>
      <c r="F35" s="112">
        <f t="shared" si="0"/>
        <v>0.60673428743457913</v>
      </c>
      <c r="G35" s="281"/>
      <c r="H35" s="32"/>
      <c r="I35" s="32"/>
      <c r="J35" s="94"/>
      <c r="K35" s="90"/>
    </row>
    <row r="36" spans="1:14" ht="15" customHeight="1" x14ac:dyDescent="0.2">
      <c r="A36" s="34" t="s">
        <v>20</v>
      </c>
      <c r="B36" s="46"/>
      <c r="C36" s="36">
        <v>21479</v>
      </c>
      <c r="D36" s="168">
        <f>21591-D38</f>
        <v>21479</v>
      </c>
      <c r="E36" s="36">
        <f>131-E38</f>
        <v>19</v>
      </c>
      <c r="F36" s="111">
        <f t="shared" si="0"/>
        <v>8.8458494343312072E-2</v>
      </c>
      <c r="G36" s="37"/>
      <c r="H36" s="37"/>
      <c r="I36" s="37"/>
      <c r="J36" s="94"/>
      <c r="K36" s="78"/>
    </row>
    <row r="37" spans="1:14" ht="15" customHeight="1" x14ac:dyDescent="0.2">
      <c r="A37" s="34" t="s">
        <v>21</v>
      </c>
      <c r="B37" s="46"/>
      <c r="C37" s="36">
        <v>0</v>
      </c>
      <c r="D37" s="168">
        <v>0</v>
      </c>
      <c r="E37" s="36">
        <v>0</v>
      </c>
      <c r="F37" s="111">
        <v>0</v>
      </c>
      <c r="G37" s="37"/>
      <c r="H37" s="37"/>
      <c r="I37" s="121"/>
      <c r="J37" s="121"/>
      <c r="K37" s="78"/>
    </row>
    <row r="38" spans="1:14" s="38" customFormat="1" x14ac:dyDescent="0.2">
      <c r="A38" s="286" t="s">
        <v>106</v>
      </c>
      <c r="B38" s="68"/>
      <c r="C38" s="36">
        <v>0</v>
      </c>
      <c r="D38" s="168">
        <v>112</v>
      </c>
      <c r="E38" s="36">
        <v>112</v>
      </c>
      <c r="F38" s="111">
        <f t="shared" si="0"/>
        <v>100</v>
      </c>
      <c r="G38" s="37"/>
      <c r="H38" s="121"/>
      <c r="I38" s="121"/>
      <c r="J38" s="121"/>
      <c r="K38" s="78"/>
      <c r="N38" s="39"/>
    </row>
    <row r="39" spans="1:14" s="38" customFormat="1" ht="15" thickBot="1" x14ac:dyDescent="0.25">
      <c r="A39" s="288" t="s">
        <v>107</v>
      </c>
      <c r="B39" s="70"/>
      <c r="C39" s="50">
        <v>0</v>
      </c>
      <c r="D39" s="299">
        <v>0</v>
      </c>
      <c r="E39" s="299">
        <v>0</v>
      </c>
      <c r="F39" s="116">
        <v>0</v>
      </c>
      <c r="G39" s="37"/>
      <c r="H39" s="122"/>
      <c r="I39" s="122"/>
      <c r="J39" s="122"/>
      <c r="K39" s="78"/>
      <c r="N39" s="39"/>
    </row>
    <row r="40" spans="1:14" s="38" customFormat="1" ht="13.5" hidden="1" customHeight="1" thickTop="1" x14ac:dyDescent="0.2">
      <c r="A40" s="51"/>
      <c r="B40" s="52"/>
      <c r="C40" s="27" t="e">
        <f>SUM(C36,C31,C26,#REF!,#REF!,C21,C14,C8)</f>
        <v>#REF!</v>
      </c>
      <c r="D40" s="27" t="e">
        <f>SUM(D36,D31,D26,#REF!,#REF!,D21,D14,D8)</f>
        <v>#REF!</v>
      </c>
      <c r="E40" s="27" t="e">
        <f>SUM(E36,E31,E26,#REF!,#REF!,E21,E14,E8)</f>
        <v>#REF!</v>
      </c>
      <c r="F40" s="38" t="s">
        <v>27</v>
      </c>
      <c r="J40" s="99"/>
      <c r="K40" s="76"/>
      <c r="L40" s="53"/>
      <c r="N40" s="39"/>
    </row>
    <row r="41" spans="1:14" s="38" customFormat="1" ht="12.75" hidden="1" customHeight="1" x14ac:dyDescent="0.2">
      <c r="A41" s="51"/>
      <c r="B41" s="52"/>
      <c r="C41" s="27" t="e">
        <f>SUM(C37,C32,C27,#REF!,#REF!,C22,C15,C9)</f>
        <v>#REF!</v>
      </c>
      <c r="D41" s="27" t="e">
        <f>SUM(D37,D32,D27,#REF!,#REF!,D22,D15,D9)</f>
        <v>#REF!</v>
      </c>
      <c r="E41" s="27" t="e">
        <f>SUM(E37,E32,E27,#REF!,#REF!,E22,E15,E9)</f>
        <v>#REF!</v>
      </c>
      <c r="F41" s="54" t="s">
        <v>28</v>
      </c>
      <c r="G41" s="54"/>
      <c r="H41" s="54"/>
      <c r="I41" s="54"/>
      <c r="J41" s="94"/>
      <c r="K41" s="76"/>
      <c r="N41" s="39"/>
    </row>
    <row r="42" spans="1:14" s="38" customFormat="1" ht="12.75" hidden="1" customHeight="1" x14ac:dyDescent="0.2">
      <c r="A42" s="51"/>
      <c r="B42" s="52"/>
      <c r="C42" s="27" t="e">
        <f>SUM(C38,C33,C28,#REF!,#REF!,C23,C16,C10)</f>
        <v>#REF!</v>
      </c>
      <c r="D42" s="27" t="e">
        <f>SUM(D38,D33,D28,#REF!,#REF!,D23,D16,D10)</f>
        <v>#REF!</v>
      </c>
      <c r="E42" s="27" t="e">
        <f>SUM(E38,E33,E28,#REF!,#REF!,E23,E16,E10)</f>
        <v>#REF!</v>
      </c>
      <c r="F42" s="54" t="s">
        <v>29</v>
      </c>
      <c r="G42" s="54"/>
      <c r="H42" s="54"/>
      <c r="I42" s="54"/>
      <c r="J42" s="94"/>
      <c r="K42" s="76"/>
      <c r="N42" s="39"/>
    </row>
    <row r="43" spans="1:14" s="38" customFormat="1" ht="12.75" hidden="1" customHeight="1" x14ac:dyDescent="0.2">
      <c r="A43" s="51"/>
      <c r="B43" s="52"/>
      <c r="C43" s="27" t="e">
        <f>SUM(C39,C34,C29,#REF!,#REF!,C24,C17,C11)</f>
        <v>#REF!</v>
      </c>
      <c r="D43" s="27" t="e">
        <f>SUM(D39,D34,D29,#REF!,#REF!,D24,D17,D11)</f>
        <v>#REF!</v>
      </c>
      <c r="E43" s="27" t="e">
        <f>SUM(E39,E34,E29,#REF!,#REF!,E24,E17,E11)</f>
        <v>#REF!</v>
      </c>
      <c r="F43" s="54" t="s">
        <v>30</v>
      </c>
      <c r="G43" s="54"/>
      <c r="H43" s="54"/>
      <c r="I43" s="54"/>
      <c r="J43" s="94"/>
      <c r="K43" s="76"/>
      <c r="N43" s="39"/>
    </row>
    <row r="44" spans="1:14" s="38" customFormat="1" ht="12.75" hidden="1" customHeight="1" x14ac:dyDescent="0.2">
      <c r="A44" s="51"/>
      <c r="B44" s="52"/>
      <c r="C44" s="27">
        <f>C18</f>
        <v>7934</v>
      </c>
      <c r="D44" s="27">
        <f>D18</f>
        <v>7934</v>
      </c>
      <c r="E44" s="27">
        <f>E18</f>
        <v>3500</v>
      </c>
      <c r="F44" s="54" t="s">
        <v>31</v>
      </c>
      <c r="G44" s="54"/>
      <c r="H44" s="54"/>
      <c r="I44" s="54"/>
      <c r="J44" s="94"/>
      <c r="K44" s="76"/>
      <c r="N44" s="39"/>
    </row>
    <row r="45" spans="1:14" s="38" customFormat="1" ht="12.75" hidden="1" customHeight="1" x14ac:dyDescent="0.2">
      <c r="A45" s="51"/>
      <c r="B45" s="52"/>
      <c r="C45" s="55" t="e">
        <f>SUM(C40:C44)</f>
        <v>#REF!</v>
      </c>
      <c r="D45" s="55" t="e">
        <f>SUM(D40:D44)</f>
        <v>#REF!</v>
      </c>
      <c r="E45" s="55" t="e">
        <f>SUM(E40:E44)</f>
        <v>#REF!</v>
      </c>
      <c r="F45" s="54" t="s">
        <v>32</v>
      </c>
      <c r="G45" s="54"/>
      <c r="H45" s="54"/>
      <c r="I45" s="54"/>
      <c r="J45" s="94"/>
      <c r="K45" s="56"/>
      <c r="N45" s="39"/>
    </row>
    <row r="46" spans="1:14" s="38" customFormat="1" ht="12.75" hidden="1" customHeight="1" x14ac:dyDescent="0.2">
      <c r="A46" s="51"/>
      <c r="B46" s="52"/>
      <c r="C46" s="55"/>
      <c r="D46" s="55"/>
      <c r="E46" s="55"/>
      <c r="F46" s="54"/>
      <c r="G46" s="54"/>
      <c r="H46" s="54"/>
      <c r="I46" s="54"/>
      <c r="J46" s="94"/>
      <c r="K46" s="56"/>
      <c r="N46" s="39"/>
    </row>
    <row r="47" spans="1:14" s="38" customFormat="1" ht="12.75" hidden="1" customHeight="1" x14ac:dyDescent="0.2">
      <c r="A47" s="51"/>
      <c r="B47" s="52"/>
      <c r="C47" s="55" t="e">
        <f>C7+C13+C19+#REF!+#REF!+C25+C30+C35</f>
        <v>#REF!</v>
      </c>
      <c r="D47" s="55" t="e">
        <f>D7+D13+D19+#REF!+#REF!+D25+D30+D35</f>
        <v>#REF!</v>
      </c>
      <c r="E47" s="55" t="e">
        <f>E7+E13+E19+#REF!+#REF!+E25+E30+E35</f>
        <v>#REF!</v>
      </c>
      <c r="F47" s="54" t="s">
        <v>33</v>
      </c>
      <c r="G47" s="54"/>
      <c r="H47" s="54"/>
      <c r="I47" s="54"/>
      <c r="J47" s="94"/>
      <c r="K47" s="58"/>
      <c r="N47" s="39"/>
    </row>
    <row r="48" spans="1:14" s="60" customFormat="1" ht="15.75" thickTop="1" x14ac:dyDescent="0.25">
      <c r="A48" s="308" t="s">
        <v>113</v>
      </c>
      <c r="B48" s="150">
        <v>10</v>
      </c>
      <c r="C48" s="266">
        <f>C49+C54+C57</f>
        <v>120422</v>
      </c>
      <c r="D48" s="266">
        <f>D49+D54+D57</f>
        <v>5976790</v>
      </c>
      <c r="E48" s="266">
        <f>E49+E54+E57</f>
        <v>1039314</v>
      </c>
      <c r="F48" s="337">
        <f t="shared" ref="F48:F83" si="1">(E48/D48)*100</f>
        <v>17.389167094711375</v>
      </c>
      <c r="G48" s="32"/>
      <c r="H48" s="90"/>
      <c r="I48" s="90"/>
      <c r="J48" s="94"/>
      <c r="K48" s="90"/>
      <c r="N48" s="61"/>
    </row>
    <row r="49" spans="1:15" s="60" customFormat="1" x14ac:dyDescent="0.2">
      <c r="A49" s="62" t="s">
        <v>34</v>
      </c>
      <c r="B49" s="63"/>
      <c r="C49" s="64">
        <f>C50+C51+C52+C53</f>
        <v>102276</v>
      </c>
      <c r="D49" s="64">
        <f>D50+D51+D52+D53</f>
        <v>113126</v>
      </c>
      <c r="E49" s="64">
        <f>E50+E51+E52+E53</f>
        <v>18985</v>
      </c>
      <c r="F49" s="111">
        <f t="shared" si="1"/>
        <v>16.782172091296431</v>
      </c>
      <c r="G49" s="37"/>
      <c r="H49" s="37"/>
      <c r="I49" s="37"/>
      <c r="J49" s="100"/>
      <c r="K49" s="93"/>
      <c r="L49" s="103"/>
      <c r="M49" s="103"/>
      <c r="N49" s="92"/>
      <c r="O49" s="103"/>
    </row>
    <row r="50" spans="1:15" s="60" customFormat="1" x14ac:dyDescent="0.2">
      <c r="A50" s="34" t="s">
        <v>20</v>
      </c>
      <c r="B50" s="271"/>
      <c r="C50" s="36">
        <f>120422-C55</f>
        <v>102276</v>
      </c>
      <c r="D50" s="36">
        <f>5976790-D55-D58</f>
        <v>113126</v>
      </c>
      <c r="E50" s="36">
        <f>1039314-E55-E58</f>
        <v>18985</v>
      </c>
      <c r="F50" s="111">
        <f t="shared" si="1"/>
        <v>16.782172091296431</v>
      </c>
      <c r="G50" s="37"/>
      <c r="H50" s="37"/>
      <c r="I50" s="37"/>
      <c r="J50" s="100"/>
      <c r="K50" s="78"/>
      <c r="L50" s="53"/>
      <c r="M50" s="103"/>
      <c r="N50" s="92"/>
      <c r="O50" s="103"/>
    </row>
    <row r="51" spans="1:15" s="60" customFormat="1" x14ac:dyDescent="0.2">
      <c r="A51" s="34" t="s">
        <v>21</v>
      </c>
      <c r="B51" s="272"/>
      <c r="C51" s="36">
        <v>0</v>
      </c>
      <c r="D51" s="36">
        <v>0</v>
      </c>
      <c r="E51" s="36">
        <v>0</v>
      </c>
      <c r="F51" s="111">
        <v>0</v>
      </c>
      <c r="G51" s="37"/>
      <c r="H51" s="37"/>
      <c r="I51" s="37"/>
      <c r="J51" s="100"/>
      <c r="K51" s="78"/>
      <c r="L51" s="74"/>
      <c r="M51" s="103"/>
      <c r="N51" s="92"/>
      <c r="O51" s="103"/>
    </row>
    <row r="52" spans="1:15" s="60" customFormat="1" x14ac:dyDescent="0.2">
      <c r="A52" s="286" t="s">
        <v>106</v>
      </c>
      <c r="B52" s="272"/>
      <c r="C52" s="36">
        <v>0</v>
      </c>
      <c r="D52" s="36">
        <v>0</v>
      </c>
      <c r="E52" s="36">
        <v>0</v>
      </c>
      <c r="F52" s="111">
        <v>0</v>
      </c>
      <c r="G52" s="37"/>
      <c r="H52" s="37"/>
      <c r="I52" s="37"/>
      <c r="J52" s="100"/>
      <c r="K52" s="78"/>
      <c r="L52" s="104"/>
      <c r="M52" s="103"/>
      <c r="N52" s="92"/>
      <c r="O52" s="103"/>
    </row>
    <row r="53" spans="1:15" s="60" customFormat="1" x14ac:dyDescent="0.2">
      <c r="A53" s="286" t="s">
        <v>107</v>
      </c>
      <c r="B53" s="272"/>
      <c r="C53" s="36">
        <v>0</v>
      </c>
      <c r="D53" s="36">
        <v>0</v>
      </c>
      <c r="E53" s="36">
        <v>0</v>
      </c>
      <c r="F53" s="111">
        <v>0</v>
      </c>
      <c r="G53" s="37"/>
      <c r="H53" s="37"/>
      <c r="I53" s="37"/>
      <c r="J53" s="100"/>
      <c r="K53" s="78"/>
      <c r="L53" s="74"/>
      <c r="M53" s="103"/>
      <c r="N53" s="92"/>
      <c r="O53" s="103"/>
    </row>
    <row r="54" spans="1:15" s="60" customFormat="1" x14ac:dyDescent="0.2">
      <c r="A54" s="67" t="s">
        <v>35</v>
      </c>
      <c r="B54" s="272"/>
      <c r="C54" s="64">
        <f>C55+C56</f>
        <v>18146</v>
      </c>
      <c r="D54" s="64">
        <f>D55+D56</f>
        <v>9106</v>
      </c>
      <c r="E54" s="64">
        <f>E55+E56</f>
        <v>1277</v>
      </c>
      <c r="F54" s="111">
        <f t="shared" si="1"/>
        <v>14.023720623764552</v>
      </c>
      <c r="G54" s="37"/>
      <c r="H54" s="37"/>
      <c r="I54" s="37"/>
      <c r="J54" s="94"/>
      <c r="K54" s="93"/>
      <c r="L54" s="103"/>
      <c r="M54" s="103"/>
      <c r="N54" s="92"/>
      <c r="O54" s="103"/>
    </row>
    <row r="55" spans="1:15" s="60" customFormat="1" x14ac:dyDescent="0.2">
      <c r="A55" s="284" t="s">
        <v>104</v>
      </c>
      <c r="B55" s="272"/>
      <c r="C55" s="36">
        <v>18146</v>
      </c>
      <c r="D55" s="36">
        <v>9106</v>
      </c>
      <c r="E55" s="36">
        <v>1277</v>
      </c>
      <c r="F55" s="111">
        <f t="shared" si="1"/>
        <v>14.023720623764552</v>
      </c>
      <c r="G55" s="124"/>
      <c r="H55" s="124"/>
      <c r="I55" s="37"/>
      <c r="J55" s="94"/>
      <c r="K55" s="78"/>
      <c r="L55" s="103"/>
      <c r="M55" s="103"/>
      <c r="N55" s="92"/>
      <c r="O55" s="103"/>
    </row>
    <row r="56" spans="1:15" s="60" customFormat="1" x14ac:dyDescent="0.2">
      <c r="A56" s="284" t="s">
        <v>105</v>
      </c>
      <c r="B56" s="272"/>
      <c r="C56" s="36">
        <v>0</v>
      </c>
      <c r="D56" s="36">
        <v>0</v>
      </c>
      <c r="E56" s="36">
        <v>0</v>
      </c>
      <c r="F56" s="111">
        <v>0</v>
      </c>
      <c r="G56" s="37"/>
      <c r="H56" s="37"/>
      <c r="I56" s="37"/>
      <c r="J56" s="94"/>
      <c r="K56" s="78"/>
      <c r="L56" s="103"/>
      <c r="M56" s="103"/>
      <c r="N56" s="92"/>
      <c r="O56" s="103"/>
    </row>
    <row r="57" spans="1:15" s="60" customFormat="1" ht="28.5" x14ac:dyDescent="0.2">
      <c r="A57" s="306" t="s">
        <v>121</v>
      </c>
      <c r="B57" s="272"/>
      <c r="C57" s="307">
        <f>C58+C59</f>
        <v>0</v>
      </c>
      <c r="D57" s="307">
        <f t="shared" ref="D57:E57" si="2">D58+D59</f>
        <v>5854558</v>
      </c>
      <c r="E57" s="307">
        <f t="shared" si="2"/>
        <v>1019052</v>
      </c>
      <c r="F57" s="305">
        <f t="shared" si="1"/>
        <v>17.40613040301249</v>
      </c>
      <c r="G57" s="37"/>
      <c r="H57" s="37"/>
      <c r="I57" s="37"/>
      <c r="J57" s="100"/>
      <c r="K57" s="93"/>
      <c r="L57" s="103"/>
      <c r="M57" s="103"/>
      <c r="N57" s="92"/>
      <c r="O57" s="103"/>
    </row>
    <row r="58" spans="1:15" s="60" customFormat="1" x14ac:dyDescent="0.2">
      <c r="A58" s="286" t="s">
        <v>106</v>
      </c>
      <c r="B58" s="272"/>
      <c r="C58" s="36">
        <v>0</v>
      </c>
      <c r="D58" s="36">
        <v>5854558</v>
      </c>
      <c r="E58" s="36">
        <v>1019052</v>
      </c>
      <c r="F58" s="111">
        <f t="shared" si="1"/>
        <v>17.40613040301249</v>
      </c>
      <c r="G58" s="37"/>
      <c r="H58" s="37"/>
      <c r="I58" s="265"/>
      <c r="J58" s="265"/>
      <c r="K58" s="78"/>
      <c r="L58" s="103"/>
      <c r="M58" s="92"/>
      <c r="N58" s="92"/>
      <c r="O58" s="103"/>
    </row>
    <row r="59" spans="1:15" s="60" customFormat="1" ht="15" thickBot="1" x14ac:dyDescent="0.25">
      <c r="A59" s="288" t="s">
        <v>107</v>
      </c>
      <c r="B59" s="338"/>
      <c r="C59" s="50">
        <v>0</v>
      </c>
      <c r="D59" s="50">
        <v>0</v>
      </c>
      <c r="E59" s="50">
        <v>0</v>
      </c>
      <c r="F59" s="116">
        <v>0</v>
      </c>
      <c r="G59" s="37"/>
      <c r="H59" s="37"/>
      <c r="I59" s="209"/>
      <c r="J59" s="100"/>
      <c r="K59" s="78"/>
      <c r="L59" s="103"/>
      <c r="M59" s="92"/>
      <c r="N59" s="92"/>
      <c r="O59" s="103"/>
    </row>
    <row r="60" spans="1:15" s="60" customFormat="1" ht="15" thickTop="1" x14ac:dyDescent="0.2">
      <c r="A60" s="294"/>
      <c r="B60" s="231"/>
      <c r="C60" s="121"/>
      <c r="D60" s="121"/>
      <c r="E60" s="121"/>
      <c r="F60" s="252"/>
      <c r="G60" s="37"/>
      <c r="H60" s="37"/>
      <c r="I60" s="209"/>
      <c r="J60" s="100"/>
      <c r="K60" s="78"/>
      <c r="L60" s="103"/>
      <c r="M60" s="92"/>
      <c r="N60" s="92"/>
      <c r="O60" s="103"/>
    </row>
    <row r="61" spans="1:15" s="60" customFormat="1" ht="15" thickBot="1" x14ac:dyDescent="0.25">
      <c r="A61" s="275"/>
      <c r="B61" s="147"/>
      <c r="C61" s="162"/>
      <c r="D61" s="162"/>
      <c r="E61" s="162"/>
      <c r="F61" s="27" t="s">
        <v>0</v>
      </c>
      <c r="G61" s="37"/>
      <c r="H61" s="37"/>
      <c r="I61" s="209"/>
      <c r="J61" s="100"/>
      <c r="K61" s="78"/>
      <c r="L61" s="103"/>
      <c r="M61" s="92"/>
      <c r="N61" s="92"/>
      <c r="O61" s="103"/>
    </row>
    <row r="62" spans="1:15" s="60" customFormat="1" ht="15.75" thickTop="1" thickBot="1" x14ac:dyDescent="0.25">
      <c r="A62" s="201" t="s">
        <v>15</v>
      </c>
      <c r="B62" s="202" t="s">
        <v>16</v>
      </c>
      <c r="C62" s="203" t="s">
        <v>17</v>
      </c>
      <c r="D62" s="203" t="s">
        <v>18</v>
      </c>
      <c r="E62" s="203" t="s">
        <v>4</v>
      </c>
      <c r="F62" s="204" t="s">
        <v>5</v>
      </c>
      <c r="G62" s="37"/>
      <c r="H62" s="37"/>
      <c r="I62" s="209"/>
      <c r="J62" s="100"/>
      <c r="K62" s="78"/>
      <c r="L62" s="103"/>
      <c r="M62" s="92"/>
      <c r="N62" s="92"/>
      <c r="O62" s="103"/>
    </row>
    <row r="63" spans="1:15" s="60" customFormat="1" ht="15.75" thickTop="1" thickBot="1" x14ac:dyDescent="0.25">
      <c r="A63" s="7">
        <v>1</v>
      </c>
      <c r="B63" s="4">
        <v>2</v>
      </c>
      <c r="C63" s="4">
        <v>3</v>
      </c>
      <c r="D63" s="4">
        <v>4</v>
      </c>
      <c r="E63" s="4">
        <v>5</v>
      </c>
      <c r="F63" s="182" t="s">
        <v>86</v>
      </c>
      <c r="G63" s="37"/>
      <c r="H63" s="37"/>
      <c r="I63" s="209"/>
      <c r="J63" s="100"/>
      <c r="K63" s="78"/>
      <c r="L63" s="103"/>
      <c r="M63" s="92"/>
      <c r="N63" s="92"/>
      <c r="O63" s="103"/>
    </row>
    <row r="64" spans="1:15" ht="15.75" thickTop="1" x14ac:dyDescent="0.25">
      <c r="A64" s="42" t="s">
        <v>36</v>
      </c>
      <c r="B64" s="150">
        <v>11</v>
      </c>
      <c r="C64" s="266">
        <f>C65+C70</f>
        <v>27209</v>
      </c>
      <c r="D64" s="266">
        <f>D65+D70</f>
        <v>717996</v>
      </c>
      <c r="E64" s="266">
        <f>E65+E70</f>
        <v>1216</v>
      </c>
      <c r="F64" s="112">
        <f t="shared" si="1"/>
        <v>0.16936027498760439</v>
      </c>
      <c r="G64" s="281"/>
      <c r="H64" s="90"/>
      <c r="I64" s="90"/>
      <c r="J64" s="94"/>
      <c r="K64" s="90"/>
      <c r="L64" s="105"/>
      <c r="M64" s="105"/>
      <c r="N64" s="106"/>
      <c r="O64" s="105"/>
    </row>
    <row r="65" spans="1:15" s="38" customFormat="1" x14ac:dyDescent="0.2">
      <c r="A65" s="62" t="s">
        <v>34</v>
      </c>
      <c r="B65" s="68"/>
      <c r="C65" s="64">
        <f>C66+C67+C68+C69</f>
        <v>27021</v>
      </c>
      <c r="D65" s="64">
        <f>D66+D67+D68+D69</f>
        <v>361013</v>
      </c>
      <c r="E65" s="64">
        <f>E66+E67+E68+E69</f>
        <v>1110</v>
      </c>
      <c r="F65" s="111">
        <f t="shared" si="1"/>
        <v>0.30746815211640577</v>
      </c>
      <c r="G65" s="69"/>
      <c r="H65" s="69"/>
      <c r="I65" s="69"/>
      <c r="J65" s="94"/>
      <c r="K65" s="93"/>
      <c r="L65" s="75"/>
      <c r="M65" s="75"/>
      <c r="N65" s="76"/>
      <c r="O65" s="75"/>
    </row>
    <row r="66" spans="1:15" s="38" customFormat="1" x14ac:dyDescent="0.2">
      <c r="A66" s="34" t="s">
        <v>20</v>
      </c>
      <c r="B66" s="68"/>
      <c r="C66" s="36">
        <v>1571</v>
      </c>
      <c r="D66" s="36">
        <v>1571</v>
      </c>
      <c r="E66" s="36">
        <v>26</v>
      </c>
      <c r="F66" s="111">
        <f t="shared" si="1"/>
        <v>1.6549968173138128</v>
      </c>
      <c r="G66" s="69"/>
      <c r="H66" s="69"/>
      <c r="I66" s="69"/>
      <c r="J66" s="94"/>
      <c r="K66" s="78"/>
      <c r="L66" s="104"/>
      <c r="M66" s="75"/>
      <c r="N66" s="76"/>
      <c r="O66" s="75"/>
    </row>
    <row r="67" spans="1:15" s="38" customFormat="1" x14ac:dyDescent="0.2">
      <c r="A67" s="34" t="s">
        <v>21</v>
      </c>
      <c r="B67" s="68"/>
      <c r="C67" s="36">
        <v>0</v>
      </c>
      <c r="D67" s="36">
        <v>0</v>
      </c>
      <c r="E67" s="36">
        <v>0</v>
      </c>
      <c r="F67" s="111">
        <v>0</v>
      </c>
      <c r="G67" s="69"/>
      <c r="H67" s="69"/>
      <c r="I67" s="69"/>
      <c r="J67" s="94"/>
      <c r="K67" s="78"/>
      <c r="L67" s="75"/>
      <c r="M67" s="75"/>
      <c r="N67" s="76"/>
      <c r="O67" s="75"/>
    </row>
    <row r="68" spans="1:15" s="38" customFormat="1" x14ac:dyDescent="0.2">
      <c r="A68" s="286" t="s">
        <v>106</v>
      </c>
      <c r="B68" s="68"/>
      <c r="C68" s="36">
        <v>25450</v>
      </c>
      <c r="D68" s="168">
        <v>359442</v>
      </c>
      <c r="E68" s="36">
        <v>1084</v>
      </c>
      <c r="F68" s="111">
        <f t="shared" si="1"/>
        <v>0.30157855787581861</v>
      </c>
      <c r="G68" s="69"/>
      <c r="H68" s="69"/>
      <c r="I68" s="69"/>
      <c r="J68" s="69"/>
      <c r="K68" s="78"/>
      <c r="L68" s="75"/>
      <c r="M68" s="75"/>
      <c r="N68" s="76"/>
      <c r="O68" s="75"/>
    </row>
    <row r="69" spans="1:15" s="38" customFormat="1" x14ac:dyDescent="0.2">
      <c r="A69" s="286" t="s">
        <v>107</v>
      </c>
      <c r="B69" s="68"/>
      <c r="C69" s="36">
        <v>0</v>
      </c>
      <c r="D69" s="36">
        <v>0</v>
      </c>
      <c r="E69" s="36">
        <v>0</v>
      </c>
      <c r="F69" s="111">
        <v>0</v>
      </c>
      <c r="G69" s="69"/>
      <c r="H69" s="69"/>
      <c r="I69" s="69"/>
      <c r="J69" s="94"/>
      <c r="K69" s="78"/>
      <c r="L69" s="75"/>
      <c r="M69" s="75"/>
      <c r="N69" s="76"/>
      <c r="O69" s="75"/>
    </row>
    <row r="70" spans="1:15" ht="17.45" customHeight="1" x14ac:dyDescent="0.2">
      <c r="A70" s="67" t="s">
        <v>35</v>
      </c>
      <c r="B70" s="63"/>
      <c r="C70" s="64">
        <f>C71+C72+C73+C74</f>
        <v>188</v>
      </c>
      <c r="D70" s="64">
        <f>D71+D72+D73+D74</f>
        <v>356983</v>
      </c>
      <c r="E70" s="64">
        <f>E71+E72+E73+E74</f>
        <v>106</v>
      </c>
      <c r="F70" s="111">
        <f t="shared" ref="F70:F73" si="3">(E70/D70)*100</f>
        <v>2.9693290716924899E-2</v>
      </c>
      <c r="G70" s="69"/>
      <c r="H70" s="69"/>
      <c r="I70" s="69"/>
      <c r="J70" s="94"/>
      <c r="K70" s="93"/>
      <c r="L70" s="105"/>
      <c r="M70" s="105"/>
      <c r="N70" s="106"/>
      <c r="O70" s="105"/>
    </row>
    <row r="71" spans="1:15" ht="15" customHeight="1" x14ac:dyDescent="0.2">
      <c r="A71" s="284" t="s">
        <v>104</v>
      </c>
      <c r="B71" s="63"/>
      <c r="C71" s="36">
        <v>188</v>
      </c>
      <c r="D71" s="36">
        <v>188</v>
      </c>
      <c r="E71" s="36">
        <v>0</v>
      </c>
      <c r="F71" s="111">
        <v>0</v>
      </c>
      <c r="G71" s="37"/>
      <c r="H71" s="37"/>
      <c r="I71" s="37"/>
      <c r="J71" s="94"/>
      <c r="K71" s="78"/>
      <c r="L71" s="105"/>
      <c r="M71" s="105"/>
      <c r="N71" s="106"/>
      <c r="O71" s="105"/>
    </row>
    <row r="72" spans="1:15" ht="15" customHeight="1" x14ac:dyDescent="0.2">
      <c r="A72" s="284" t="s">
        <v>105</v>
      </c>
      <c r="B72" s="63"/>
      <c r="C72" s="36">
        <v>0</v>
      </c>
      <c r="D72" s="36">
        <v>0</v>
      </c>
      <c r="E72" s="36">
        <v>0</v>
      </c>
      <c r="F72" s="111">
        <v>0</v>
      </c>
      <c r="G72" s="37"/>
      <c r="H72" s="37"/>
      <c r="I72" s="37"/>
      <c r="J72" s="94"/>
      <c r="K72" s="78"/>
      <c r="L72" s="105"/>
      <c r="M72" s="105"/>
      <c r="N72" s="106"/>
      <c r="O72" s="105"/>
    </row>
    <row r="73" spans="1:15" ht="15" customHeight="1" x14ac:dyDescent="0.2">
      <c r="A73" s="286" t="s">
        <v>109</v>
      </c>
      <c r="B73" s="63"/>
      <c r="C73" s="36">
        <v>0</v>
      </c>
      <c r="D73" s="36">
        <v>356795</v>
      </c>
      <c r="E73" s="36">
        <v>106</v>
      </c>
      <c r="F73" s="111">
        <f t="shared" si="3"/>
        <v>2.9708936504155049E-2</v>
      </c>
      <c r="G73" s="37"/>
      <c r="H73" s="37"/>
      <c r="I73" s="37"/>
      <c r="J73" s="37"/>
      <c r="K73" s="78"/>
      <c r="L73" s="105"/>
      <c r="M73" s="105"/>
      <c r="N73" s="106"/>
      <c r="O73" s="105"/>
    </row>
    <row r="74" spans="1:15" ht="15" customHeight="1" x14ac:dyDescent="0.2">
      <c r="A74" s="286" t="s">
        <v>110</v>
      </c>
      <c r="B74" s="63"/>
      <c r="C74" s="36">
        <v>0</v>
      </c>
      <c r="D74" s="36">
        <v>0</v>
      </c>
      <c r="E74" s="36">
        <v>0</v>
      </c>
      <c r="F74" s="115">
        <v>0</v>
      </c>
      <c r="G74" s="37"/>
      <c r="H74" s="37"/>
      <c r="I74" s="37"/>
      <c r="J74" s="94"/>
      <c r="K74" s="78"/>
      <c r="L74" s="105"/>
      <c r="M74" s="105"/>
      <c r="N74" s="106"/>
      <c r="O74" s="105"/>
    </row>
    <row r="75" spans="1:15" ht="15" customHeight="1" x14ac:dyDescent="0.25">
      <c r="A75" s="270" t="s">
        <v>37</v>
      </c>
      <c r="B75" s="150">
        <v>12</v>
      </c>
      <c r="C75" s="266">
        <f>C76+C81</f>
        <v>97709</v>
      </c>
      <c r="D75" s="266">
        <f>D76+D81</f>
        <v>97709</v>
      </c>
      <c r="E75" s="266">
        <f>E76+E81</f>
        <v>32</v>
      </c>
      <c r="F75" s="112">
        <f t="shared" si="1"/>
        <v>3.2750309592770373E-2</v>
      </c>
      <c r="G75" s="32"/>
      <c r="H75" s="90"/>
      <c r="I75" s="90"/>
      <c r="J75" s="94"/>
      <c r="K75" s="90"/>
      <c r="L75" s="105"/>
      <c r="M75" s="105"/>
      <c r="N75" s="106"/>
      <c r="O75" s="105"/>
    </row>
    <row r="76" spans="1:15" ht="15" customHeight="1" x14ac:dyDescent="0.2">
      <c r="A76" s="62" t="s">
        <v>34</v>
      </c>
      <c r="B76" s="63"/>
      <c r="C76" s="64">
        <f>C77+C78+C79+C80</f>
        <v>21780</v>
      </c>
      <c r="D76" s="64">
        <f>D77+D78+D79+D80</f>
        <v>21780</v>
      </c>
      <c r="E76" s="328">
        <f>E77+E78+E79+E80</f>
        <v>32</v>
      </c>
      <c r="F76" s="111">
        <f t="shared" si="1"/>
        <v>0.14692378328741965</v>
      </c>
      <c r="G76" s="69"/>
      <c r="H76" s="69"/>
      <c r="I76" s="69"/>
      <c r="J76" s="94"/>
      <c r="K76" s="93"/>
      <c r="L76" s="105"/>
      <c r="M76" s="105"/>
      <c r="N76" s="106"/>
      <c r="O76" s="105"/>
    </row>
    <row r="77" spans="1:15" ht="15" customHeight="1" x14ac:dyDescent="0.2">
      <c r="A77" s="34" t="s">
        <v>20</v>
      </c>
      <c r="B77" s="63"/>
      <c r="C77" s="36">
        <v>780</v>
      </c>
      <c r="D77" s="36">
        <v>780</v>
      </c>
      <c r="E77" s="36">
        <v>32</v>
      </c>
      <c r="F77" s="111">
        <f t="shared" si="1"/>
        <v>4.1025641025641022</v>
      </c>
      <c r="G77" s="37"/>
      <c r="H77" s="37"/>
      <c r="I77" s="37"/>
      <c r="J77" s="94"/>
      <c r="K77" s="78"/>
      <c r="L77" s="104"/>
      <c r="M77" s="105"/>
      <c r="N77" s="106"/>
      <c r="O77" s="105"/>
    </row>
    <row r="78" spans="1:15" ht="15" customHeight="1" x14ac:dyDescent="0.2">
      <c r="A78" s="34" t="s">
        <v>21</v>
      </c>
      <c r="B78" s="63"/>
      <c r="C78" s="36">
        <v>21000</v>
      </c>
      <c r="D78" s="36">
        <v>21000</v>
      </c>
      <c r="E78" s="36">
        <v>0</v>
      </c>
      <c r="F78" s="111">
        <f t="shared" si="1"/>
        <v>0</v>
      </c>
      <c r="G78" s="37"/>
      <c r="H78" s="37"/>
      <c r="I78" s="37"/>
      <c r="J78" s="94"/>
      <c r="K78" s="78"/>
      <c r="L78" s="105"/>
      <c r="M78" s="105"/>
      <c r="N78" s="106"/>
      <c r="O78" s="105"/>
    </row>
    <row r="79" spans="1:15" ht="15" customHeight="1" x14ac:dyDescent="0.2">
      <c r="A79" s="286" t="s">
        <v>106</v>
      </c>
      <c r="B79" s="63"/>
      <c r="C79" s="36">
        <v>0</v>
      </c>
      <c r="D79" s="36">
        <v>0</v>
      </c>
      <c r="E79" s="36">
        <v>0</v>
      </c>
      <c r="F79" s="111">
        <v>0</v>
      </c>
      <c r="G79" s="37"/>
      <c r="H79" s="37"/>
      <c r="I79" s="37"/>
      <c r="J79" s="94"/>
      <c r="K79" s="78"/>
      <c r="L79" s="105"/>
      <c r="M79" s="105"/>
      <c r="N79" s="106"/>
      <c r="O79" s="105"/>
    </row>
    <row r="80" spans="1:15" ht="15" customHeight="1" x14ac:dyDescent="0.2">
      <c r="A80" s="286" t="s">
        <v>107</v>
      </c>
      <c r="B80" s="63"/>
      <c r="C80" s="36">
        <v>0</v>
      </c>
      <c r="D80" s="36">
        <v>0</v>
      </c>
      <c r="E80" s="36">
        <v>0</v>
      </c>
      <c r="F80" s="111">
        <v>0</v>
      </c>
      <c r="G80" s="37"/>
      <c r="H80" s="37"/>
      <c r="I80" s="37"/>
      <c r="J80" s="94"/>
      <c r="K80" s="78"/>
      <c r="L80" s="105"/>
      <c r="M80" s="105"/>
      <c r="N80" s="106"/>
      <c r="O80" s="105"/>
    </row>
    <row r="81" spans="1:15" ht="17.45" customHeight="1" x14ac:dyDescent="0.2">
      <c r="A81" s="67" t="s">
        <v>35</v>
      </c>
      <c r="B81" s="63"/>
      <c r="C81" s="64">
        <f>C82+C83+C84+C85</f>
        <v>75929</v>
      </c>
      <c r="D81" s="64">
        <f>D82+D83+D84+D85</f>
        <v>75929</v>
      </c>
      <c r="E81" s="64">
        <f>E82+E83+E84+E85</f>
        <v>0</v>
      </c>
      <c r="F81" s="111">
        <f t="shared" si="1"/>
        <v>0</v>
      </c>
      <c r="G81" s="69"/>
      <c r="H81" s="37"/>
      <c r="I81" s="37"/>
      <c r="J81" s="37"/>
      <c r="K81" s="78"/>
      <c r="L81" s="105"/>
      <c r="M81" s="105"/>
      <c r="N81" s="106"/>
      <c r="O81" s="105"/>
    </row>
    <row r="82" spans="1:15" ht="15" customHeight="1" x14ac:dyDescent="0.2">
      <c r="A82" s="284" t="s">
        <v>104</v>
      </c>
      <c r="B82" s="63"/>
      <c r="C82" s="36">
        <v>0</v>
      </c>
      <c r="D82" s="36">
        <v>0</v>
      </c>
      <c r="E82" s="36">
        <v>0</v>
      </c>
      <c r="F82" s="111">
        <v>0</v>
      </c>
      <c r="G82" s="37"/>
      <c r="H82" s="37"/>
      <c r="I82" s="37"/>
      <c r="J82" s="94"/>
      <c r="K82" s="78"/>
      <c r="L82" s="105"/>
      <c r="M82" s="105"/>
      <c r="N82" s="106"/>
      <c r="O82" s="105"/>
    </row>
    <row r="83" spans="1:15" ht="15" customHeight="1" x14ac:dyDescent="0.2">
      <c r="A83" s="284" t="s">
        <v>105</v>
      </c>
      <c r="B83" s="63"/>
      <c r="C83" s="36">
        <v>75929</v>
      </c>
      <c r="D83" s="36">
        <v>75929</v>
      </c>
      <c r="E83" s="36">
        <v>0</v>
      </c>
      <c r="F83" s="111">
        <f t="shared" si="1"/>
        <v>0</v>
      </c>
      <c r="G83" s="37"/>
      <c r="H83" s="37"/>
      <c r="I83" s="37"/>
      <c r="J83" s="94"/>
      <c r="K83" s="78"/>
      <c r="L83" s="105"/>
      <c r="M83" s="105"/>
      <c r="N83" s="106"/>
      <c r="O83" s="105"/>
    </row>
    <row r="84" spans="1:15" ht="15" customHeight="1" x14ac:dyDescent="0.25">
      <c r="A84" s="286" t="s">
        <v>109</v>
      </c>
      <c r="B84" s="63"/>
      <c r="C84" s="36">
        <v>0</v>
      </c>
      <c r="D84" s="36">
        <v>0</v>
      </c>
      <c r="E84" s="36">
        <v>0</v>
      </c>
      <c r="F84" s="111">
        <v>0</v>
      </c>
      <c r="G84" s="37"/>
      <c r="H84" s="37"/>
      <c r="I84" s="37"/>
      <c r="J84" s="37"/>
      <c r="K84" s="90"/>
      <c r="L84" s="105"/>
      <c r="M84" s="105"/>
      <c r="N84" s="106"/>
      <c r="O84" s="105"/>
    </row>
    <row r="85" spans="1:15" ht="15" customHeight="1" x14ac:dyDescent="0.25">
      <c r="A85" s="287" t="s">
        <v>110</v>
      </c>
      <c r="B85" s="73"/>
      <c r="C85" s="41">
        <v>0</v>
      </c>
      <c r="D85" s="41">
        <v>0</v>
      </c>
      <c r="E85" s="41">
        <v>0</v>
      </c>
      <c r="F85" s="115">
        <v>0</v>
      </c>
      <c r="G85" s="37"/>
      <c r="H85" s="282"/>
      <c r="I85" s="282"/>
      <c r="J85" s="282"/>
      <c r="K85" s="283"/>
      <c r="L85" s="105"/>
      <c r="M85" s="105"/>
      <c r="N85" s="106"/>
      <c r="O85" s="105"/>
    </row>
    <row r="86" spans="1:15" s="43" customFormat="1" ht="15" x14ac:dyDescent="0.25">
      <c r="A86" s="71" t="s">
        <v>38</v>
      </c>
      <c r="B86" s="63">
        <v>14</v>
      </c>
      <c r="C86" s="268">
        <f>C87+C92</f>
        <v>31764</v>
      </c>
      <c r="D86" s="268">
        <f>D87+D92</f>
        <v>31787</v>
      </c>
      <c r="E86" s="268">
        <f>E87+E92</f>
        <v>3365</v>
      </c>
      <c r="F86" s="112">
        <f t="shared" ref="F86:F133" si="4">(E86/D86)*100</f>
        <v>10.586088652593828</v>
      </c>
      <c r="G86" s="281"/>
      <c r="H86" s="90"/>
      <c r="I86" s="90"/>
      <c r="J86" s="94"/>
      <c r="K86" s="90"/>
      <c r="L86" s="75"/>
      <c r="M86" s="104"/>
      <c r="N86" s="56"/>
      <c r="O86" s="104"/>
    </row>
    <row r="87" spans="1:15" s="38" customFormat="1" x14ac:dyDescent="0.2">
      <c r="A87" s="62" t="s">
        <v>34</v>
      </c>
      <c r="B87" s="68"/>
      <c r="C87" s="64">
        <f>C88+C89+C90+C91</f>
        <v>31764</v>
      </c>
      <c r="D87" s="64">
        <f>D88+D89+D90+D91</f>
        <v>31764</v>
      </c>
      <c r="E87" s="329">
        <f>E88+E89+E90+E91</f>
        <v>3365</v>
      </c>
      <c r="F87" s="111">
        <f t="shared" si="4"/>
        <v>10.593753935272636</v>
      </c>
      <c r="G87" s="69"/>
      <c r="H87" s="69"/>
      <c r="I87" s="69"/>
      <c r="J87" s="94"/>
      <c r="K87" s="93"/>
      <c r="L87" s="75"/>
      <c r="M87" s="75"/>
      <c r="N87" s="76"/>
      <c r="O87" s="75"/>
    </row>
    <row r="88" spans="1:15" s="38" customFormat="1" x14ac:dyDescent="0.2">
      <c r="A88" s="34" t="s">
        <v>20</v>
      </c>
      <c r="B88" s="68"/>
      <c r="C88" s="36">
        <f>31764-C90-C92</f>
        <v>30964</v>
      </c>
      <c r="D88" s="36">
        <f>31787-D90-D92</f>
        <v>30964</v>
      </c>
      <c r="E88" s="36">
        <f>3365-E90-E92</f>
        <v>2697</v>
      </c>
      <c r="F88" s="111">
        <f>(E88/D88)*100</f>
        <v>8.71011497222581</v>
      </c>
      <c r="G88" s="37"/>
      <c r="H88" s="37"/>
      <c r="I88" s="37"/>
      <c r="J88" s="94"/>
      <c r="K88" s="78"/>
      <c r="L88" s="104"/>
      <c r="M88" s="75"/>
      <c r="N88" s="76"/>
      <c r="O88" s="75"/>
    </row>
    <row r="89" spans="1:15" s="38" customFormat="1" x14ac:dyDescent="0.2">
      <c r="A89" s="34" t="s">
        <v>21</v>
      </c>
      <c r="B89" s="68"/>
      <c r="C89" s="36">
        <v>0</v>
      </c>
      <c r="D89" s="36">
        <v>0</v>
      </c>
      <c r="E89" s="36">
        <v>0</v>
      </c>
      <c r="F89" s="111">
        <v>0</v>
      </c>
      <c r="G89" s="37"/>
      <c r="H89" s="37"/>
      <c r="I89" s="37"/>
      <c r="J89" s="94"/>
      <c r="K89" s="78"/>
      <c r="L89" s="75"/>
      <c r="M89" s="75"/>
      <c r="N89" s="76"/>
      <c r="O89" s="75"/>
    </row>
    <row r="90" spans="1:15" s="38" customFormat="1" x14ac:dyDescent="0.2">
      <c r="A90" s="286" t="s">
        <v>106</v>
      </c>
      <c r="B90" s="68"/>
      <c r="C90" s="36">
        <v>800</v>
      </c>
      <c r="D90" s="36">
        <v>800</v>
      </c>
      <c r="E90" s="36">
        <v>668</v>
      </c>
      <c r="F90" s="111">
        <f t="shared" si="4"/>
        <v>83.5</v>
      </c>
      <c r="G90" s="37"/>
      <c r="H90" s="37"/>
      <c r="I90" s="37"/>
      <c r="J90" s="94"/>
      <c r="K90" s="78"/>
      <c r="L90" s="75"/>
      <c r="M90" s="75"/>
      <c r="N90" s="76"/>
      <c r="O90" s="75"/>
    </row>
    <row r="91" spans="1:15" s="38" customFormat="1" x14ac:dyDescent="0.2">
      <c r="A91" s="286" t="s">
        <v>107</v>
      </c>
      <c r="B91" s="68"/>
      <c r="C91" s="36">
        <v>0</v>
      </c>
      <c r="D91" s="36">
        <v>0</v>
      </c>
      <c r="E91" s="36">
        <v>0</v>
      </c>
      <c r="F91" s="111">
        <v>0</v>
      </c>
      <c r="G91" s="37"/>
      <c r="H91" s="37"/>
      <c r="I91" s="37"/>
      <c r="J91" s="94"/>
      <c r="K91" s="78"/>
      <c r="L91" s="75"/>
      <c r="M91" s="75"/>
      <c r="N91" s="76"/>
      <c r="O91" s="75"/>
    </row>
    <row r="92" spans="1:15" s="38" customFormat="1" x14ac:dyDescent="0.2">
      <c r="A92" s="67" t="s">
        <v>35</v>
      </c>
      <c r="B92" s="68"/>
      <c r="C92" s="64">
        <f>C93+C94+C95+C96</f>
        <v>0</v>
      </c>
      <c r="D92" s="64">
        <f>D93+D94+D95+D96</f>
        <v>23</v>
      </c>
      <c r="E92" s="64">
        <f>E93+E94+E95+E96</f>
        <v>0</v>
      </c>
      <c r="F92" s="273">
        <f>(E92/D92)*100</f>
        <v>0</v>
      </c>
      <c r="G92" s="69"/>
      <c r="H92" s="69"/>
      <c r="I92" s="69"/>
      <c r="J92" s="94"/>
      <c r="K92" s="93"/>
      <c r="L92" s="75"/>
      <c r="M92" s="75"/>
      <c r="N92" s="76"/>
      <c r="O92" s="75"/>
    </row>
    <row r="93" spans="1:15" s="38" customFormat="1" x14ac:dyDescent="0.2">
      <c r="A93" s="284" t="s">
        <v>104</v>
      </c>
      <c r="B93" s="68"/>
      <c r="C93" s="36">
        <v>0</v>
      </c>
      <c r="D93" s="36">
        <v>0</v>
      </c>
      <c r="E93" s="36">
        <v>0</v>
      </c>
      <c r="F93" s="111">
        <v>0</v>
      </c>
      <c r="G93" s="37"/>
      <c r="H93" s="37"/>
      <c r="I93" s="37"/>
      <c r="J93" s="94"/>
      <c r="K93" s="78"/>
      <c r="L93" s="75"/>
      <c r="M93" s="75"/>
      <c r="N93" s="76"/>
      <c r="O93" s="75"/>
    </row>
    <row r="94" spans="1:15" s="38" customFormat="1" x14ac:dyDescent="0.2">
      <c r="A94" s="284" t="s">
        <v>105</v>
      </c>
      <c r="B94" s="68"/>
      <c r="C94" s="36">
        <v>0</v>
      </c>
      <c r="D94" s="36">
        <v>0</v>
      </c>
      <c r="E94" s="36">
        <v>0</v>
      </c>
      <c r="F94" s="111">
        <v>0</v>
      </c>
      <c r="G94" s="37"/>
      <c r="H94" s="37"/>
      <c r="I94" s="37"/>
      <c r="J94" s="37"/>
      <c r="K94" s="78"/>
      <c r="L94" s="75"/>
      <c r="M94" s="75"/>
      <c r="N94" s="76"/>
      <c r="O94" s="75"/>
    </row>
    <row r="95" spans="1:15" s="38" customFormat="1" ht="15" x14ac:dyDescent="0.25">
      <c r="A95" s="286" t="s">
        <v>109</v>
      </c>
      <c r="B95" s="68"/>
      <c r="C95" s="36">
        <v>0</v>
      </c>
      <c r="D95" s="36">
        <v>23</v>
      </c>
      <c r="E95" s="36">
        <v>0</v>
      </c>
      <c r="F95" s="111">
        <f t="shared" si="4"/>
        <v>0</v>
      </c>
      <c r="G95" s="37"/>
      <c r="H95" s="37"/>
      <c r="I95" s="37"/>
      <c r="J95" s="37"/>
      <c r="K95" s="90"/>
      <c r="L95" s="75"/>
      <c r="M95" s="75"/>
      <c r="N95" s="76"/>
      <c r="O95" s="75"/>
    </row>
    <row r="96" spans="1:15" s="38" customFormat="1" ht="15" x14ac:dyDescent="0.25">
      <c r="A96" s="287" t="s">
        <v>110</v>
      </c>
      <c r="B96" s="267"/>
      <c r="C96" s="41">
        <v>0</v>
      </c>
      <c r="D96" s="41">
        <v>0</v>
      </c>
      <c r="E96" s="41">
        <v>0</v>
      </c>
      <c r="F96" s="115">
        <v>0</v>
      </c>
      <c r="G96" s="37"/>
      <c r="H96" s="282"/>
      <c r="I96" s="282"/>
      <c r="J96" s="282"/>
      <c r="K96" s="283"/>
      <c r="L96" s="75"/>
      <c r="M96" s="75"/>
      <c r="N96" s="76"/>
      <c r="O96" s="75"/>
    </row>
    <row r="97" spans="1:15" s="43" customFormat="1" ht="15" x14ac:dyDescent="0.25">
      <c r="A97" s="71" t="s">
        <v>39</v>
      </c>
      <c r="B97" s="63">
        <v>16</v>
      </c>
      <c r="C97" s="268">
        <v>10</v>
      </c>
      <c r="D97" s="268">
        <v>10</v>
      </c>
      <c r="E97" s="268">
        <v>0</v>
      </c>
      <c r="F97" s="337">
        <f t="shared" si="4"/>
        <v>0</v>
      </c>
      <c r="G97" s="32"/>
      <c r="H97" s="37"/>
      <c r="I97" s="37"/>
      <c r="J97" s="37"/>
      <c r="K97" s="90"/>
      <c r="L97" s="104"/>
      <c r="M97" s="104"/>
      <c r="N97" s="56"/>
      <c r="O97" s="104"/>
    </row>
    <row r="98" spans="1:15" s="43" customFormat="1" ht="15" x14ac:dyDescent="0.25">
      <c r="A98" s="42" t="s">
        <v>100</v>
      </c>
      <c r="B98" s="339">
        <v>17</v>
      </c>
      <c r="C98" s="266">
        <f>C99+C100+C101+C102</f>
        <v>408423</v>
      </c>
      <c r="D98" s="266">
        <f>D99+D100+D101+D102</f>
        <v>431537</v>
      </c>
      <c r="E98" s="266">
        <f>E99+E100+E101+E102</f>
        <v>30130</v>
      </c>
      <c r="F98" s="337">
        <f t="shared" si="4"/>
        <v>6.9820200817079421</v>
      </c>
      <c r="G98" s="281"/>
      <c r="H98" s="32"/>
      <c r="I98" s="32"/>
      <c r="J98" s="94"/>
      <c r="K98" s="90"/>
      <c r="L98" s="104"/>
      <c r="M98" s="104"/>
      <c r="N98" s="56"/>
      <c r="O98" s="104"/>
    </row>
    <row r="99" spans="1:15" s="43" customFormat="1" x14ac:dyDescent="0.2">
      <c r="A99" s="34" t="s">
        <v>20</v>
      </c>
      <c r="B99" s="46"/>
      <c r="C99" s="36">
        <f>1440+5200</f>
        <v>6640</v>
      </c>
      <c r="D99" s="36">
        <f>1540+5200</f>
        <v>6740</v>
      </c>
      <c r="E99" s="36">
        <v>142</v>
      </c>
      <c r="F99" s="111">
        <f t="shared" si="4"/>
        <v>2.1068249258160239</v>
      </c>
      <c r="G99" s="37"/>
      <c r="H99" s="37"/>
      <c r="I99" s="37"/>
      <c r="J99" s="94"/>
      <c r="K99" s="78"/>
      <c r="L99" s="104"/>
      <c r="M99" s="107"/>
      <c r="N99" s="56"/>
      <c r="O99" s="104"/>
    </row>
    <row r="100" spans="1:15" s="43" customFormat="1" x14ac:dyDescent="0.2">
      <c r="A100" s="34" t="s">
        <v>21</v>
      </c>
      <c r="B100" s="46"/>
      <c r="C100" s="36">
        <v>401783</v>
      </c>
      <c r="D100" s="36">
        <v>424797</v>
      </c>
      <c r="E100" s="36">
        <v>29988</v>
      </c>
      <c r="F100" s="111">
        <f t="shared" si="4"/>
        <v>7.05937188821955</v>
      </c>
      <c r="G100" s="37"/>
      <c r="H100" s="37"/>
      <c r="I100" s="37"/>
      <c r="J100" s="94"/>
      <c r="K100" s="78"/>
      <c r="L100" s="104"/>
      <c r="M100" s="108"/>
      <c r="N100" s="56"/>
      <c r="O100" s="104"/>
    </row>
    <row r="101" spans="1:15" s="43" customFormat="1" x14ac:dyDescent="0.2">
      <c r="A101" s="286" t="s">
        <v>106</v>
      </c>
      <c r="B101" s="68"/>
      <c r="C101" s="36">
        <v>0</v>
      </c>
      <c r="D101" s="36">
        <v>0</v>
      </c>
      <c r="E101" s="36">
        <v>0</v>
      </c>
      <c r="F101" s="111">
        <v>0</v>
      </c>
      <c r="G101" s="37"/>
      <c r="H101" s="37"/>
      <c r="I101" s="37"/>
      <c r="J101" s="95"/>
      <c r="K101" s="78"/>
      <c r="L101" s="104"/>
      <c r="M101" s="56"/>
      <c r="N101" s="56"/>
      <c r="O101" s="104"/>
    </row>
    <row r="102" spans="1:15" s="43" customFormat="1" x14ac:dyDescent="0.2">
      <c r="A102" s="287" t="s">
        <v>107</v>
      </c>
      <c r="B102" s="267"/>
      <c r="C102" s="41">
        <v>0</v>
      </c>
      <c r="D102" s="41">
        <v>0</v>
      </c>
      <c r="E102" s="41">
        <v>0</v>
      </c>
      <c r="F102" s="115">
        <v>0</v>
      </c>
      <c r="G102" s="37"/>
      <c r="H102" s="37"/>
      <c r="I102" s="37"/>
      <c r="J102" s="37"/>
      <c r="K102" s="78"/>
      <c r="L102" s="104"/>
      <c r="M102" s="58"/>
      <c r="N102" s="56"/>
      <c r="O102" s="104"/>
    </row>
    <row r="103" spans="1:15" s="43" customFormat="1" ht="15" x14ac:dyDescent="0.25">
      <c r="A103" s="48" t="s">
        <v>97</v>
      </c>
      <c r="B103" s="151">
        <v>18</v>
      </c>
      <c r="C103" s="268">
        <f>C104:D104+C105:D105+C106:D106+C107:D107</f>
        <v>49373</v>
      </c>
      <c r="D103" s="268">
        <f>D104+D105+D106+D107</f>
        <v>49373</v>
      </c>
      <c r="E103" s="268">
        <f>E104+E105+E106+E107</f>
        <v>3406</v>
      </c>
      <c r="F103" s="112">
        <f t="shared" si="4"/>
        <v>6.898507281307598</v>
      </c>
      <c r="G103" s="37"/>
      <c r="H103" s="37"/>
      <c r="I103" s="37"/>
      <c r="J103" s="95"/>
      <c r="K103" s="78"/>
      <c r="L103" s="104"/>
      <c r="M103" s="58"/>
      <c r="N103" s="56"/>
      <c r="O103" s="104"/>
    </row>
    <row r="104" spans="1:15" s="43" customFormat="1" x14ac:dyDescent="0.2">
      <c r="A104" s="34" t="s">
        <v>20</v>
      </c>
      <c r="B104" s="46"/>
      <c r="C104" s="36">
        <v>49373</v>
      </c>
      <c r="D104" s="36">
        <v>49373</v>
      </c>
      <c r="E104" s="36">
        <v>3406</v>
      </c>
      <c r="F104" s="111">
        <f>(E104/D104)*100</f>
        <v>6.898507281307598</v>
      </c>
      <c r="G104" s="37"/>
      <c r="H104" s="37"/>
      <c r="I104" s="37"/>
      <c r="J104" s="94"/>
      <c r="K104" s="78"/>
      <c r="L104" s="104"/>
      <c r="M104" s="107"/>
      <c r="N104" s="56"/>
      <c r="O104" s="104"/>
    </row>
    <row r="105" spans="1:15" s="43" customFormat="1" x14ac:dyDescent="0.2">
      <c r="A105" s="34" t="s">
        <v>21</v>
      </c>
      <c r="B105" s="46"/>
      <c r="C105" s="36">
        <v>0</v>
      </c>
      <c r="D105" s="36">
        <v>0</v>
      </c>
      <c r="E105" s="36">
        <v>0</v>
      </c>
      <c r="F105" s="111">
        <v>0</v>
      </c>
      <c r="G105" s="37"/>
      <c r="H105" s="37"/>
      <c r="I105" s="37"/>
      <c r="J105" s="170"/>
      <c r="K105" s="78"/>
      <c r="L105" s="104"/>
      <c r="M105" s="108"/>
      <c r="N105" s="56"/>
      <c r="O105" s="104"/>
    </row>
    <row r="106" spans="1:15" s="43" customFormat="1" x14ac:dyDescent="0.2">
      <c r="A106" s="286" t="s">
        <v>106</v>
      </c>
      <c r="B106" s="68"/>
      <c r="C106" s="36">
        <v>0</v>
      </c>
      <c r="D106" s="36">
        <v>0</v>
      </c>
      <c r="E106" s="36">
        <v>0</v>
      </c>
      <c r="F106" s="111">
        <v>0</v>
      </c>
      <c r="G106" s="37"/>
      <c r="H106" s="37"/>
      <c r="I106" s="37"/>
      <c r="J106" s="95"/>
      <c r="K106" s="78"/>
      <c r="L106" s="104"/>
      <c r="M106" s="56"/>
      <c r="N106" s="56"/>
      <c r="O106" s="104"/>
    </row>
    <row r="107" spans="1:15" s="43" customFormat="1" ht="15" thickBot="1" x14ac:dyDescent="0.25">
      <c r="A107" s="288" t="s">
        <v>107</v>
      </c>
      <c r="B107" s="70"/>
      <c r="C107" s="50">
        <v>0</v>
      </c>
      <c r="D107" s="50">
        <v>0</v>
      </c>
      <c r="E107" s="50">
        <v>0</v>
      </c>
      <c r="F107" s="116">
        <v>0</v>
      </c>
      <c r="G107" s="37"/>
      <c r="H107" s="37"/>
      <c r="I107" s="37"/>
      <c r="J107" s="37"/>
      <c r="K107" s="78"/>
      <c r="L107" s="104"/>
      <c r="M107" s="58"/>
      <c r="N107" s="56"/>
      <c r="O107" s="104"/>
    </row>
    <row r="108" spans="1:15" s="43" customFormat="1" ht="15" thickTop="1" x14ac:dyDescent="0.2">
      <c r="A108" s="294"/>
      <c r="B108" s="52"/>
      <c r="C108" s="121"/>
      <c r="D108" s="121"/>
      <c r="E108" s="121"/>
      <c r="F108" s="252"/>
      <c r="G108" s="37"/>
      <c r="H108" s="37"/>
      <c r="I108" s="37"/>
      <c r="J108" s="37"/>
      <c r="K108" s="78"/>
      <c r="L108" s="104"/>
      <c r="M108" s="58"/>
      <c r="N108" s="56"/>
      <c r="O108" s="104"/>
    </row>
    <row r="109" spans="1:15" s="43" customFormat="1" ht="15.75" thickBot="1" x14ac:dyDescent="0.3">
      <c r="A109" s="325"/>
      <c r="B109" s="326"/>
      <c r="C109" s="327"/>
      <c r="D109" s="327"/>
      <c r="E109" s="327"/>
      <c r="F109" s="27" t="s">
        <v>0</v>
      </c>
      <c r="G109" s="37"/>
      <c r="H109" s="37"/>
      <c r="I109" s="37"/>
      <c r="J109" s="37"/>
      <c r="K109" s="78"/>
      <c r="L109" s="104"/>
      <c r="M109" s="58"/>
      <c r="N109" s="56"/>
      <c r="O109" s="104"/>
    </row>
    <row r="110" spans="1:15" s="43" customFormat="1" ht="15.75" thickTop="1" thickBot="1" x14ac:dyDescent="0.25">
      <c r="A110" s="201" t="s">
        <v>15</v>
      </c>
      <c r="B110" s="202" t="s">
        <v>16</v>
      </c>
      <c r="C110" s="203" t="s">
        <v>17</v>
      </c>
      <c r="D110" s="203" t="s">
        <v>18</v>
      </c>
      <c r="E110" s="203" t="s">
        <v>4</v>
      </c>
      <c r="F110" s="204" t="s">
        <v>5</v>
      </c>
      <c r="G110" s="37"/>
      <c r="H110" s="37"/>
      <c r="I110" s="37"/>
      <c r="J110" s="37"/>
      <c r="K110" s="78"/>
      <c r="L110" s="104"/>
      <c r="M110" s="58"/>
      <c r="N110" s="56"/>
      <c r="O110" s="104"/>
    </row>
    <row r="111" spans="1:15" s="43" customFormat="1" ht="15.75" thickTop="1" thickBot="1" x14ac:dyDescent="0.25">
      <c r="A111" s="7">
        <v>1</v>
      </c>
      <c r="B111" s="4">
        <v>2</v>
      </c>
      <c r="C111" s="4">
        <v>3</v>
      </c>
      <c r="D111" s="4">
        <v>4</v>
      </c>
      <c r="E111" s="4">
        <v>5</v>
      </c>
      <c r="F111" s="182" t="s">
        <v>86</v>
      </c>
      <c r="G111" s="37"/>
      <c r="H111" s="37"/>
      <c r="I111" s="37"/>
      <c r="J111" s="37"/>
      <c r="K111" s="78"/>
      <c r="L111" s="104"/>
      <c r="M111" s="58"/>
      <c r="N111" s="56"/>
      <c r="O111" s="104"/>
    </row>
    <row r="112" spans="1:15" s="43" customFormat="1" ht="15.75" thickTop="1" x14ac:dyDescent="0.25">
      <c r="A112" s="359" t="s">
        <v>101</v>
      </c>
      <c r="B112" s="151">
        <v>19</v>
      </c>
      <c r="C112" s="268">
        <f>C114+C117</f>
        <v>2552609</v>
      </c>
      <c r="D112" s="268">
        <f>D114+D117</f>
        <v>2552851</v>
      </c>
      <c r="E112" s="268">
        <f>E114+E117</f>
        <v>435754</v>
      </c>
      <c r="F112" s="112">
        <f t="shared" si="4"/>
        <v>17.069308001132853</v>
      </c>
      <c r="G112" s="37"/>
      <c r="H112" s="37"/>
      <c r="I112" s="37"/>
      <c r="J112" s="95"/>
      <c r="K112" s="78"/>
      <c r="L112" s="104"/>
      <c r="M112" s="58"/>
      <c r="N112" s="56"/>
      <c r="O112" s="104"/>
    </row>
    <row r="113" spans="1:15" s="43" customFormat="1" x14ac:dyDescent="0.2">
      <c r="A113" s="360"/>
      <c r="B113" s="68"/>
      <c r="C113" s="36"/>
      <c r="D113" s="36"/>
      <c r="E113" s="36"/>
      <c r="F113" s="111"/>
      <c r="G113" s="37"/>
      <c r="H113" s="37"/>
      <c r="I113" s="37"/>
      <c r="J113" s="95"/>
      <c r="K113" s="78"/>
      <c r="L113" s="104"/>
      <c r="M113" s="58"/>
      <c r="N113" s="56"/>
      <c r="O113" s="104"/>
    </row>
    <row r="114" spans="1:15" s="43" customFormat="1" x14ac:dyDescent="0.2">
      <c r="A114" s="62" t="s">
        <v>34</v>
      </c>
      <c r="B114" s="68"/>
      <c r="C114" s="64">
        <f>C115+C116</f>
        <v>55678</v>
      </c>
      <c r="D114" s="64">
        <f>D115+D116</f>
        <v>55678</v>
      </c>
      <c r="E114" s="64">
        <f>E115+E116</f>
        <v>12715</v>
      </c>
      <c r="F114" s="273">
        <f>(E114/D114)*100</f>
        <v>22.836667983763785</v>
      </c>
      <c r="G114" s="37"/>
      <c r="H114" s="37"/>
      <c r="I114" s="37"/>
      <c r="J114" s="95"/>
      <c r="K114" s="78"/>
      <c r="L114" s="104"/>
      <c r="M114" s="58"/>
      <c r="N114" s="56"/>
      <c r="O114" s="104"/>
    </row>
    <row r="115" spans="1:15" s="43" customFormat="1" x14ac:dyDescent="0.2">
      <c r="A115" s="34" t="s">
        <v>20</v>
      </c>
      <c r="B115" s="68"/>
      <c r="C115" s="36">
        <v>55678</v>
      </c>
      <c r="D115" s="36">
        <v>55678</v>
      </c>
      <c r="E115" s="36">
        <v>12715</v>
      </c>
      <c r="F115" s="111">
        <f>(E115/D115)*100</f>
        <v>22.836667983763785</v>
      </c>
      <c r="G115" s="37"/>
      <c r="H115" s="37"/>
      <c r="I115" s="37"/>
      <c r="J115" s="95"/>
      <c r="K115" s="78"/>
      <c r="L115" s="104"/>
      <c r="M115" s="58"/>
      <c r="N115" s="56"/>
      <c r="O115" s="104"/>
    </row>
    <row r="116" spans="1:15" s="43" customFormat="1" x14ac:dyDescent="0.2">
      <c r="A116" s="34" t="s">
        <v>21</v>
      </c>
      <c r="B116" s="68"/>
      <c r="C116" s="36">
        <v>0</v>
      </c>
      <c r="D116" s="36">
        <v>0</v>
      </c>
      <c r="E116" s="36">
        <v>0</v>
      </c>
      <c r="F116" s="111">
        <v>0</v>
      </c>
      <c r="G116" s="37"/>
      <c r="H116" s="37"/>
      <c r="I116" s="37"/>
      <c r="J116" s="95"/>
      <c r="K116" s="78"/>
      <c r="L116" s="104"/>
      <c r="M116" s="58"/>
      <c r="N116" s="56"/>
      <c r="O116" s="104"/>
    </row>
    <row r="117" spans="1:15" s="43" customFormat="1" x14ac:dyDescent="0.2">
      <c r="A117" s="67" t="s">
        <v>35</v>
      </c>
      <c r="B117" s="68"/>
      <c r="C117" s="64">
        <f>C118+C119</f>
        <v>2496931</v>
      </c>
      <c r="D117" s="64">
        <f>D118+D119</f>
        <v>2497173</v>
      </c>
      <c r="E117" s="64">
        <f>E118+E119</f>
        <v>423039</v>
      </c>
      <c r="F117" s="273">
        <f t="shared" si="4"/>
        <v>16.940716562288635</v>
      </c>
      <c r="G117" s="37"/>
      <c r="H117" s="37"/>
      <c r="I117" s="37"/>
      <c r="J117" s="95"/>
      <c r="K117" s="78"/>
      <c r="L117" s="104"/>
      <c r="M117" s="58"/>
      <c r="N117" s="56"/>
      <c r="O117" s="104"/>
    </row>
    <row r="118" spans="1:15" s="43" customFormat="1" x14ac:dyDescent="0.2">
      <c r="A118" s="284" t="s">
        <v>104</v>
      </c>
      <c r="B118" s="68"/>
      <c r="C118" s="36">
        <v>2496931</v>
      </c>
      <c r="D118" s="36">
        <v>2496901</v>
      </c>
      <c r="E118" s="36">
        <v>422949</v>
      </c>
      <c r="F118" s="111">
        <f t="shared" si="4"/>
        <v>16.938957531756365</v>
      </c>
      <c r="G118" s="37"/>
      <c r="H118" s="37"/>
      <c r="I118" s="37"/>
      <c r="J118" s="95"/>
      <c r="K118" s="78"/>
      <c r="L118" s="104"/>
      <c r="M118" s="58"/>
      <c r="N118" s="56"/>
      <c r="O118" s="104"/>
    </row>
    <row r="119" spans="1:15" s="43" customFormat="1" x14ac:dyDescent="0.2">
      <c r="A119" s="285" t="s">
        <v>105</v>
      </c>
      <c r="B119" s="267"/>
      <c r="C119" s="41">
        <v>0</v>
      </c>
      <c r="D119" s="41">
        <v>272</v>
      </c>
      <c r="E119" s="41">
        <v>90</v>
      </c>
      <c r="F119" s="115">
        <f t="shared" si="4"/>
        <v>33.088235294117645</v>
      </c>
      <c r="G119" s="37"/>
      <c r="H119" s="37"/>
      <c r="I119" s="37"/>
      <c r="J119" s="95"/>
      <c r="K119" s="78"/>
      <c r="L119" s="104"/>
      <c r="M119" s="58"/>
      <c r="N119" s="56"/>
      <c r="O119" s="104"/>
    </row>
    <row r="120" spans="1:15" s="43" customFormat="1" ht="15" x14ac:dyDescent="0.25">
      <c r="A120" s="295" t="s">
        <v>123</v>
      </c>
      <c r="B120" s="73">
        <v>20</v>
      </c>
      <c r="C120" s="296">
        <v>15</v>
      </c>
      <c r="D120" s="296">
        <v>438</v>
      </c>
      <c r="E120" s="296">
        <v>51</v>
      </c>
      <c r="F120" s="114">
        <f t="shared" si="4"/>
        <v>11.643835616438356</v>
      </c>
      <c r="G120" s="37"/>
      <c r="H120" s="37"/>
      <c r="I120" s="37"/>
      <c r="J120" s="95"/>
      <c r="K120" s="78"/>
      <c r="L120" s="104"/>
      <c r="M120" s="58"/>
      <c r="N120" s="56"/>
      <c r="O120" s="104"/>
    </row>
    <row r="121" spans="1:15" s="43" customFormat="1" ht="15" x14ac:dyDescent="0.25">
      <c r="A121" s="71" t="s">
        <v>40</v>
      </c>
      <c r="B121" s="63" t="s">
        <v>103</v>
      </c>
      <c r="C121" s="268">
        <f>C122+C123+C124+C125</f>
        <v>220853</v>
      </c>
      <c r="D121" s="268">
        <f>D122+D123+D124+D125</f>
        <v>406351</v>
      </c>
      <c r="E121" s="268">
        <f>E122+E123+E124+E125+E126</f>
        <v>73278</v>
      </c>
      <c r="F121" s="112">
        <f t="shared" si="4"/>
        <v>18.033178212924295</v>
      </c>
      <c r="G121" s="32"/>
      <c r="H121" s="32"/>
      <c r="I121" s="32"/>
      <c r="J121" s="94"/>
      <c r="K121" s="90"/>
      <c r="L121" s="104"/>
      <c r="M121" s="104"/>
      <c r="N121" s="56"/>
      <c r="O121" s="104"/>
    </row>
    <row r="122" spans="1:15" s="43" customFormat="1" x14ac:dyDescent="0.2">
      <c r="A122" s="34" t="s">
        <v>20</v>
      </c>
      <c r="B122" s="63"/>
      <c r="C122" s="36">
        <v>28465</v>
      </c>
      <c r="D122" s="36">
        <v>28025</v>
      </c>
      <c r="E122" s="36">
        <f>19593-E126</f>
        <v>2533</v>
      </c>
      <c r="F122" s="111">
        <f t="shared" si="4"/>
        <v>9.0383586083853711</v>
      </c>
      <c r="G122" s="37"/>
      <c r="H122" s="37"/>
      <c r="I122" s="37"/>
      <c r="J122" s="94"/>
      <c r="K122" s="78"/>
      <c r="L122" s="104"/>
      <c r="M122" s="104"/>
      <c r="N122" s="56"/>
      <c r="O122" s="104"/>
    </row>
    <row r="123" spans="1:15" s="43" customFormat="1" x14ac:dyDescent="0.2">
      <c r="A123" s="34" t="s">
        <v>21</v>
      </c>
      <c r="B123" s="63"/>
      <c r="C123" s="36">
        <v>192388</v>
      </c>
      <c r="D123" s="36">
        <v>196795</v>
      </c>
      <c r="E123" s="36">
        <v>2809</v>
      </c>
      <c r="F123" s="309">
        <f t="shared" si="4"/>
        <v>1.4273736629487537</v>
      </c>
      <c r="G123" s="37"/>
      <c r="H123" s="37"/>
      <c r="I123" s="37"/>
      <c r="J123" s="94"/>
      <c r="K123" s="78"/>
      <c r="L123" s="104"/>
      <c r="M123" s="104"/>
      <c r="N123" s="56"/>
      <c r="O123" s="104"/>
    </row>
    <row r="124" spans="1:15" s="43" customFormat="1" x14ac:dyDescent="0.2">
      <c r="A124" s="286" t="s">
        <v>106</v>
      </c>
      <c r="B124" s="63"/>
      <c r="C124" s="36">
        <v>0</v>
      </c>
      <c r="D124" s="36">
        <v>117044</v>
      </c>
      <c r="E124" s="36">
        <v>29369</v>
      </c>
      <c r="F124" s="309">
        <f t="shared" si="4"/>
        <v>25.092272991353681</v>
      </c>
      <c r="G124" s="37"/>
      <c r="H124" s="37"/>
      <c r="I124" s="37"/>
      <c r="J124" s="170"/>
      <c r="K124" s="78"/>
      <c r="L124" s="104"/>
      <c r="M124" s="104"/>
      <c r="N124" s="56"/>
      <c r="O124" s="104"/>
    </row>
    <row r="125" spans="1:15" s="43" customFormat="1" x14ac:dyDescent="0.2">
      <c r="A125" s="286" t="s">
        <v>107</v>
      </c>
      <c r="B125" s="63"/>
      <c r="C125" s="36">
        <v>0</v>
      </c>
      <c r="D125" s="36">
        <v>64487</v>
      </c>
      <c r="E125" s="36">
        <v>21507</v>
      </c>
      <c r="F125" s="309">
        <f t="shared" si="4"/>
        <v>33.350907934932621</v>
      </c>
      <c r="G125" s="209"/>
      <c r="H125" s="209"/>
      <c r="I125" s="37"/>
      <c r="J125" s="94"/>
      <c r="K125" s="78"/>
      <c r="L125" s="104"/>
      <c r="M125" s="104"/>
      <c r="N125" s="56"/>
      <c r="O125" s="104"/>
    </row>
    <row r="126" spans="1:15" s="43" customFormat="1" x14ac:dyDescent="0.2">
      <c r="A126" s="45" t="s">
        <v>56</v>
      </c>
      <c r="B126" s="63"/>
      <c r="C126" s="36">
        <v>0</v>
      </c>
      <c r="D126" s="36">
        <v>0</v>
      </c>
      <c r="E126" s="36">
        <v>17060</v>
      </c>
      <c r="F126" s="310">
        <v>0</v>
      </c>
      <c r="G126" s="37"/>
      <c r="H126" s="37"/>
      <c r="I126" s="37"/>
      <c r="J126" s="94"/>
      <c r="K126" s="78"/>
      <c r="L126" s="104"/>
      <c r="M126" s="104"/>
      <c r="N126" s="56"/>
      <c r="O126" s="104"/>
    </row>
    <row r="127" spans="1:15" s="43" customFormat="1" ht="15" x14ac:dyDescent="0.25">
      <c r="A127" s="49" t="s">
        <v>57</v>
      </c>
      <c r="B127" s="150">
        <v>99</v>
      </c>
      <c r="C127" s="266">
        <f>C128+C129</f>
        <v>50000</v>
      </c>
      <c r="D127" s="266">
        <f>D128+D129</f>
        <v>50000</v>
      </c>
      <c r="E127" s="266">
        <f>E128+E129</f>
        <v>0</v>
      </c>
      <c r="F127" s="112">
        <f t="shared" si="4"/>
        <v>0</v>
      </c>
      <c r="G127" s="37"/>
      <c r="H127" s="37"/>
      <c r="I127" s="37"/>
      <c r="J127" s="94"/>
      <c r="K127" s="90"/>
      <c r="L127" s="104"/>
      <c r="M127" s="104"/>
      <c r="N127" s="56"/>
      <c r="O127" s="104"/>
    </row>
    <row r="128" spans="1:15" s="43" customFormat="1" ht="13.5" customHeight="1" x14ac:dyDescent="0.2">
      <c r="A128" s="34" t="s">
        <v>20</v>
      </c>
      <c r="B128" s="63"/>
      <c r="C128" s="36">
        <v>20000</v>
      </c>
      <c r="D128" s="36">
        <v>20000</v>
      </c>
      <c r="E128" s="36">
        <v>0</v>
      </c>
      <c r="F128" s="111">
        <f t="shared" si="4"/>
        <v>0</v>
      </c>
      <c r="G128" s="37"/>
      <c r="H128" s="37"/>
      <c r="I128" s="37"/>
      <c r="J128" s="94"/>
      <c r="K128" s="78"/>
      <c r="L128" s="104"/>
      <c r="M128" s="104"/>
      <c r="N128" s="56"/>
      <c r="O128" s="104"/>
    </row>
    <row r="129" spans="1:15" s="43" customFormat="1" ht="11.25" customHeight="1" x14ac:dyDescent="0.2">
      <c r="A129" s="274" t="s">
        <v>21</v>
      </c>
      <c r="B129" s="73"/>
      <c r="C129" s="41">
        <v>30000</v>
      </c>
      <c r="D129" s="41">
        <v>30000</v>
      </c>
      <c r="E129" s="41">
        <v>0</v>
      </c>
      <c r="F129" s="115">
        <f t="shared" si="4"/>
        <v>0</v>
      </c>
      <c r="G129" s="37"/>
      <c r="H129" s="37"/>
      <c r="I129" s="37"/>
      <c r="J129" s="94"/>
      <c r="K129" s="78"/>
      <c r="L129" s="104"/>
      <c r="M129" s="109"/>
      <c r="N129" s="56"/>
      <c r="O129" s="104"/>
    </row>
    <row r="130" spans="1:15" s="43" customFormat="1" ht="15" x14ac:dyDescent="0.25">
      <c r="A130" s="77" t="s">
        <v>41</v>
      </c>
      <c r="B130" s="63">
        <v>199</v>
      </c>
      <c r="C130" s="268">
        <f>C131</f>
        <v>8242</v>
      </c>
      <c r="D130" s="268">
        <f>D131</f>
        <v>8242</v>
      </c>
      <c r="E130" s="268">
        <f>E131</f>
        <v>1098</v>
      </c>
      <c r="F130" s="112">
        <f t="shared" si="4"/>
        <v>13.322009221062849</v>
      </c>
      <c r="G130" s="37"/>
      <c r="H130" s="37"/>
      <c r="I130" s="37"/>
      <c r="J130" s="94"/>
      <c r="K130" s="90"/>
      <c r="L130" s="55"/>
      <c r="M130" s="104"/>
      <c r="N130" s="56"/>
      <c r="O130" s="104"/>
    </row>
    <row r="131" spans="1:15" s="43" customFormat="1" x14ac:dyDescent="0.2">
      <c r="A131" s="34" t="s">
        <v>20</v>
      </c>
      <c r="B131" s="63"/>
      <c r="C131" s="36">
        <v>8242</v>
      </c>
      <c r="D131" s="36">
        <v>8242</v>
      </c>
      <c r="E131" s="36">
        <v>1098</v>
      </c>
      <c r="F131" s="111">
        <f t="shared" si="4"/>
        <v>13.322009221062849</v>
      </c>
      <c r="G131" s="37"/>
      <c r="H131" s="37"/>
      <c r="I131" s="37"/>
      <c r="J131" s="94"/>
      <c r="K131" s="78"/>
      <c r="L131" s="55"/>
      <c r="M131" s="56"/>
      <c r="N131" s="56"/>
      <c r="O131" s="104"/>
    </row>
    <row r="132" spans="1:15" s="43" customFormat="1" x14ac:dyDescent="0.2">
      <c r="A132" s="274" t="s">
        <v>21</v>
      </c>
      <c r="B132" s="73"/>
      <c r="C132" s="41">
        <v>0</v>
      </c>
      <c r="D132" s="41">
        <v>0</v>
      </c>
      <c r="E132" s="41">
        <v>0</v>
      </c>
      <c r="F132" s="115">
        <v>0</v>
      </c>
      <c r="G132" s="37"/>
      <c r="H132" s="37"/>
      <c r="I132" s="37"/>
      <c r="J132" s="94"/>
      <c r="K132" s="78"/>
      <c r="L132" s="55"/>
      <c r="M132" s="56"/>
      <c r="N132" s="56"/>
      <c r="O132" s="104"/>
    </row>
    <row r="133" spans="1:15" ht="21.75" customHeight="1" x14ac:dyDescent="0.25">
      <c r="A133" s="354" t="s">
        <v>42</v>
      </c>
      <c r="B133" s="355"/>
      <c r="C133" s="118">
        <f>C7+C13+C19+C25+C30+C35+C48+C64+C75+C86+C112+C97+C98+C121+C127+C130+C103+C120</f>
        <v>4630030</v>
      </c>
      <c r="D133" s="118">
        <f>D7+D13+D19+D25+D30+D35+D48+D64+D75+D86+D112+D97+D98+D121+D127+D130+D103+D120</f>
        <v>11391310</v>
      </c>
      <c r="E133" s="118">
        <f>E7+E13+E19+E25+E30+E35+E48+E64+E75+E86+E112+E97+E98+E121+E127+E130+E103+E120</f>
        <v>1641589</v>
      </c>
      <c r="F133" s="114">
        <f t="shared" si="4"/>
        <v>14.410888651085784</v>
      </c>
      <c r="G133" s="163"/>
      <c r="H133" s="121"/>
      <c r="I133" s="121"/>
      <c r="J133" s="121"/>
      <c r="K133" s="146"/>
      <c r="L133" s="55"/>
      <c r="M133" s="105"/>
      <c r="N133" s="106"/>
      <c r="O133" s="105"/>
    </row>
    <row r="134" spans="1:15" ht="21" customHeight="1" x14ac:dyDescent="0.2">
      <c r="A134" s="164" t="s">
        <v>7</v>
      </c>
      <c r="B134" s="165"/>
      <c r="C134" s="36">
        <f>Příjmy!B14</f>
        <v>8240</v>
      </c>
      <c r="D134" s="36">
        <f>Příjmy!C14</f>
        <v>8240</v>
      </c>
      <c r="E134" s="36">
        <f>Příjmy!D14</f>
        <v>20748</v>
      </c>
      <c r="F134" s="115">
        <f>(E134/D134)*100</f>
        <v>251.79611650485438</v>
      </c>
      <c r="G134" s="37"/>
      <c r="H134" s="120"/>
      <c r="I134" s="120"/>
      <c r="J134" s="120"/>
      <c r="K134" s="91"/>
      <c r="L134" s="55"/>
      <c r="M134" s="105"/>
      <c r="N134" s="106"/>
      <c r="O134" s="105"/>
    </row>
    <row r="135" spans="1:15" ht="32.25" thickBot="1" x14ac:dyDescent="0.3">
      <c r="A135" s="166" t="s">
        <v>43</v>
      </c>
      <c r="B135" s="167"/>
      <c r="C135" s="117">
        <f>C133-C134</f>
        <v>4621790</v>
      </c>
      <c r="D135" s="117">
        <f>D133-D134</f>
        <v>11383070</v>
      </c>
      <c r="E135" s="117">
        <f>E133-E134</f>
        <v>1620841</v>
      </c>
      <c r="F135" s="113">
        <f>(E135/D135)*100</f>
        <v>14.239049746685209</v>
      </c>
      <c r="G135" s="163"/>
      <c r="H135" s="32"/>
      <c r="I135" s="32"/>
      <c r="J135" s="102"/>
      <c r="K135" s="97"/>
      <c r="L135" s="53"/>
      <c r="M135" s="105"/>
      <c r="N135" s="106"/>
      <c r="O135" s="105"/>
    </row>
    <row r="136" spans="1:15" ht="18.75" customHeight="1" thickTop="1" x14ac:dyDescent="0.25">
      <c r="A136" s="341" t="s">
        <v>10</v>
      </c>
      <c r="B136" s="341"/>
      <c r="C136" s="341"/>
      <c r="D136" s="341"/>
      <c r="E136" s="341"/>
      <c r="G136" s="32"/>
      <c r="H136" s="32"/>
      <c r="I136" s="32"/>
      <c r="J136" s="102"/>
      <c r="K136" s="97"/>
      <c r="L136" s="53"/>
      <c r="M136" s="105"/>
      <c r="N136" s="106"/>
      <c r="O136" s="105"/>
    </row>
    <row r="137" spans="1:15" x14ac:dyDescent="0.2">
      <c r="A137" s="341"/>
      <c r="B137" s="341"/>
      <c r="C137" s="341"/>
      <c r="D137" s="341"/>
      <c r="E137" s="341"/>
      <c r="F137" s="80"/>
      <c r="G137" s="80"/>
      <c r="H137" s="80"/>
      <c r="I137" s="80"/>
      <c r="J137" s="72"/>
      <c r="L137" s="79"/>
    </row>
    <row r="138" spans="1:15" x14ac:dyDescent="0.2">
      <c r="J138" s="72"/>
    </row>
    <row r="139" spans="1:15" x14ac:dyDescent="0.2">
      <c r="J139" s="72"/>
    </row>
    <row r="140" spans="1:15" x14ac:dyDescent="0.2">
      <c r="J140" s="72"/>
    </row>
    <row r="141" spans="1:15" ht="15" thickBot="1" x14ac:dyDescent="0.25">
      <c r="A141" s="275" t="s">
        <v>134</v>
      </c>
      <c r="F141" s="27" t="s">
        <v>0</v>
      </c>
      <c r="J141" s="72"/>
    </row>
    <row r="142" spans="1:15" ht="15.75" thickTop="1" thickBot="1" x14ac:dyDescent="0.25">
      <c r="A142" s="346" t="s">
        <v>124</v>
      </c>
      <c r="B142" s="347"/>
      <c r="C142" s="314" t="s">
        <v>17</v>
      </c>
      <c r="D142" s="314" t="s">
        <v>18</v>
      </c>
      <c r="E142" s="315" t="s">
        <v>4</v>
      </c>
      <c r="F142" s="316" t="s">
        <v>5</v>
      </c>
      <c r="J142" s="72"/>
    </row>
    <row r="143" spans="1:15" ht="15.75" thickTop="1" thickBot="1" x14ac:dyDescent="0.25">
      <c r="A143" s="346">
        <v>1</v>
      </c>
      <c r="B143" s="347"/>
      <c r="C143" s="314">
        <v>2</v>
      </c>
      <c r="D143" s="314">
        <v>3</v>
      </c>
      <c r="E143" s="314">
        <v>4</v>
      </c>
      <c r="F143" s="317" t="s">
        <v>125</v>
      </c>
      <c r="J143" s="72"/>
    </row>
    <row r="144" spans="1:15" ht="15" thickTop="1" x14ac:dyDescent="0.2">
      <c r="A144" s="348" t="s">
        <v>126</v>
      </c>
      <c r="B144" s="349"/>
      <c r="C144" s="318">
        <v>3974069</v>
      </c>
      <c r="D144" s="318">
        <v>10647821</v>
      </c>
      <c r="E144" s="318">
        <f>3480334-1895929</f>
        <v>1584405</v>
      </c>
      <c r="F144" s="319">
        <f>E144/D144*100</f>
        <v>14.880086733238659</v>
      </c>
      <c r="J144" s="72"/>
    </row>
    <row r="145" spans="1:10" x14ac:dyDescent="0.2">
      <c r="A145" s="350" t="s">
        <v>127</v>
      </c>
      <c r="B145" s="351"/>
      <c r="C145" s="320">
        <v>655961</v>
      </c>
      <c r="D145" s="320">
        <v>743489</v>
      </c>
      <c r="E145" s="320">
        <v>57184</v>
      </c>
      <c r="F145" s="319">
        <f>E145/D145*100</f>
        <v>7.6913041080634681</v>
      </c>
      <c r="J145" s="72"/>
    </row>
    <row r="146" spans="1:10" ht="16.5" thickBot="1" x14ac:dyDescent="0.3">
      <c r="A146" s="352" t="s">
        <v>128</v>
      </c>
      <c r="B146" s="353"/>
      <c r="C146" s="324">
        <f>SUM(C144:C145)</f>
        <v>4630030</v>
      </c>
      <c r="D146" s="324">
        <f t="shared" ref="D146:E146" si="5">SUM(D144:D145)</f>
        <v>11391310</v>
      </c>
      <c r="E146" s="324">
        <f t="shared" si="5"/>
        <v>1641589</v>
      </c>
      <c r="F146" s="321">
        <f>E146/D146*100</f>
        <v>14.410888651085784</v>
      </c>
      <c r="J146" s="72"/>
    </row>
    <row r="147" spans="1:10" ht="15" thickTop="1" x14ac:dyDescent="0.2">
      <c r="A147" s="342" t="s">
        <v>7</v>
      </c>
      <c r="B147" s="343"/>
      <c r="C147" s="300">
        <f>C134</f>
        <v>8240</v>
      </c>
      <c r="D147" s="300">
        <f t="shared" ref="D147:E147" si="6">D134</f>
        <v>8240</v>
      </c>
      <c r="E147" s="300">
        <f t="shared" si="6"/>
        <v>20748</v>
      </c>
      <c r="F147" s="322">
        <f>(E147/D147)*100</f>
        <v>251.79611650485438</v>
      </c>
      <c r="J147" s="72"/>
    </row>
    <row r="148" spans="1:10" ht="16.5" thickBot="1" x14ac:dyDescent="0.3">
      <c r="A148" s="344" t="s">
        <v>129</v>
      </c>
      <c r="B148" s="345"/>
      <c r="C148" s="304">
        <f>C146-C147</f>
        <v>4621790</v>
      </c>
      <c r="D148" s="304">
        <f>D146-D147</f>
        <v>11383070</v>
      </c>
      <c r="E148" s="304">
        <f>E146-E147</f>
        <v>1620841</v>
      </c>
      <c r="F148" s="323">
        <f>(E148/D148)*100</f>
        <v>14.239049746685209</v>
      </c>
      <c r="J148" s="72"/>
    </row>
    <row r="149" spans="1:10" ht="15" thickTop="1" x14ac:dyDescent="0.2">
      <c r="H149" s="79"/>
      <c r="I149" s="79"/>
      <c r="J149" s="79"/>
    </row>
    <row r="150" spans="1:10" x14ac:dyDescent="0.2">
      <c r="H150" s="123"/>
      <c r="I150" s="123"/>
      <c r="J150" s="123"/>
    </row>
  </sheetData>
  <mergeCells count="13">
    <mergeCell ref="A133:B133"/>
    <mergeCell ref="A1:F1"/>
    <mergeCell ref="A2:F2"/>
    <mergeCell ref="A112:A113"/>
    <mergeCell ref="A19:A20"/>
    <mergeCell ref="A147:B147"/>
    <mergeCell ref="A148:B148"/>
    <mergeCell ref="A136:E137"/>
    <mergeCell ref="A142:B142"/>
    <mergeCell ref="A143:B143"/>
    <mergeCell ref="A144:B144"/>
    <mergeCell ref="A145:B145"/>
    <mergeCell ref="A146:B14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Footer xml:space="preserve">&amp;L&amp;"Arial,Kurzíva"Zastupitelstvo Olomouckého kraje 24-04-2017
6.3.-Rozpočet Olomouckého kraje 2017-plnění rozpočtu k 28. 2. 2017
Příloha č.1-Plnění rozpočtu Olomouckého kraje k 28. 2. 2017&amp;R&amp;"Arial,Kurzíva"Strana &amp;P (Celkem 7)
</oddFooter>
  </headerFooter>
  <rowBreaks count="2" manualBreakCount="2">
    <brk id="60" max="5" man="1"/>
    <brk id="108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6"/>
  <sheetViews>
    <sheetView showGridLines="0" view="pageBreakPreview" zoomScaleNormal="100" zoomScaleSheetLayoutView="100" workbookViewId="0">
      <selection activeCell="E12" sqref="E12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212" customWidth="1"/>
    <col min="4" max="4" width="15.7109375" style="212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132</v>
      </c>
    </row>
    <row r="3" spans="1:7" x14ac:dyDescent="0.2">
      <c r="A3" s="340" t="s">
        <v>135</v>
      </c>
      <c r="B3" s="340"/>
      <c r="C3" s="340"/>
      <c r="D3" s="340"/>
      <c r="E3" s="340"/>
    </row>
    <row r="4" spans="1:7" ht="30.75" customHeight="1" x14ac:dyDescent="0.2">
      <c r="A4" s="340"/>
      <c r="B4" s="340"/>
      <c r="C4" s="340"/>
      <c r="D4" s="340"/>
      <c r="E4" s="340"/>
    </row>
    <row r="6" spans="1:7" ht="13.5" thickBot="1" x14ac:dyDescent="0.25">
      <c r="B6" s="12"/>
      <c r="C6" s="218"/>
      <c r="D6" s="213"/>
      <c r="E6" s="3" t="s">
        <v>0</v>
      </c>
    </row>
    <row r="7" spans="1:7" ht="14.25" thickTop="1" thickBot="1" x14ac:dyDescent="0.25">
      <c r="A7" s="280" t="s">
        <v>117</v>
      </c>
      <c r="B7" s="4" t="s">
        <v>2</v>
      </c>
      <c r="C7" s="214" t="s">
        <v>3</v>
      </c>
      <c r="D7" s="214" t="s">
        <v>4</v>
      </c>
      <c r="E7" s="5" t="s">
        <v>5</v>
      </c>
      <c r="F7" s="17"/>
      <c r="G7" s="17"/>
    </row>
    <row r="8" spans="1:7" ht="14.25" thickTop="1" thickBot="1" x14ac:dyDescent="0.25">
      <c r="A8" s="7">
        <v>1</v>
      </c>
      <c r="B8" s="4">
        <v>2</v>
      </c>
      <c r="C8" s="214">
        <v>3</v>
      </c>
      <c r="D8" s="214">
        <v>4</v>
      </c>
      <c r="E8" s="8" t="s">
        <v>6</v>
      </c>
      <c r="F8" s="17"/>
      <c r="G8" s="17"/>
    </row>
    <row r="9" spans="1:7" ht="15" thickTop="1" x14ac:dyDescent="0.2">
      <c r="A9" s="332" t="s">
        <v>119</v>
      </c>
      <c r="B9" s="333">
        <v>72216</v>
      </c>
      <c r="C9" s="334">
        <v>72216</v>
      </c>
      <c r="D9" s="334">
        <v>0</v>
      </c>
      <c r="E9" s="110">
        <f>(D9/C9)*100</f>
        <v>0</v>
      </c>
      <c r="F9" s="17"/>
      <c r="G9" s="17"/>
    </row>
    <row r="10" spans="1:7" ht="28.5" x14ac:dyDescent="0.2">
      <c r="A10" s="330" t="s">
        <v>120</v>
      </c>
      <c r="B10" s="335">
        <v>247878</v>
      </c>
      <c r="C10" s="331">
        <v>415932</v>
      </c>
      <c r="D10" s="331">
        <v>415932</v>
      </c>
      <c r="E10" s="305">
        <f>(D10/C10)*100</f>
        <v>100</v>
      </c>
      <c r="F10" s="17"/>
      <c r="G10" s="17"/>
    </row>
    <row r="11" spans="1:7" ht="15" x14ac:dyDescent="0.25">
      <c r="A11" s="277" t="s">
        <v>122</v>
      </c>
      <c r="B11" s="336">
        <f>-253159</f>
        <v>-253159</v>
      </c>
      <c r="C11" s="301">
        <f>-253159</f>
        <v>-253159</v>
      </c>
      <c r="D11" s="301">
        <f>-16667</f>
        <v>-16667</v>
      </c>
      <c r="E11" s="297">
        <f>(D11/C11)*100</f>
        <v>6.5836095102287491</v>
      </c>
      <c r="F11" s="32"/>
      <c r="G11" s="17"/>
    </row>
    <row r="12" spans="1:7" ht="16.5" thickBot="1" x14ac:dyDescent="0.3">
      <c r="A12" s="311" t="s">
        <v>118</v>
      </c>
      <c r="B12" s="312">
        <f>SUM(B9:B11)</f>
        <v>66935</v>
      </c>
      <c r="C12" s="312">
        <f>SUM(C9:C11)</f>
        <v>234989</v>
      </c>
      <c r="D12" s="312">
        <f>SUM(D9:D11)</f>
        <v>399265</v>
      </c>
      <c r="E12" s="313">
        <f>(D12/C12)*100</f>
        <v>169.90795313823199</v>
      </c>
      <c r="F12" s="17"/>
      <c r="G12" s="17"/>
    </row>
    <row r="13" spans="1:7" ht="13.5" thickTop="1" x14ac:dyDescent="0.2">
      <c r="A13" s="278"/>
      <c r="B13" s="278"/>
      <c r="C13" s="279"/>
      <c r="D13" s="279"/>
      <c r="E13" s="278"/>
      <c r="F13" s="17"/>
      <c r="G13" s="17"/>
    </row>
    <row r="14" spans="1:7" x14ac:dyDescent="0.2">
      <c r="A14" s="278"/>
      <c r="B14" s="278"/>
      <c r="C14" s="279"/>
      <c r="D14" s="279"/>
      <c r="E14" s="278"/>
      <c r="F14" s="17"/>
      <c r="G14" s="17"/>
    </row>
    <row r="15" spans="1:7" x14ac:dyDescent="0.2">
      <c r="A15" s="278"/>
      <c r="B15" s="278"/>
      <c r="C15" s="279"/>
      <c r="D15" s="279"/>
      <c r="E15" s="278"/>
      <c r="F15" s="17"/>
      <c r="G15" s="17"/>
    </row>
    <row r="16" spans="1:7" x14ac:dyDescent="0.2">
      <c r="A16" s="278"/>
      <c r="B16" s="278"/>
      <c r="C16" s="279"/>
      <c r="D16" s="279"/>
      <c r="E16" s="278"/>
      <c r="F16" s="17"/>
      <c r="G16" s="17"/>
    </row>
    <row r="17" spans="1:7" x14ac:dyDescent="0.2">
      <c r="A17" s="278"/>
      <c r="B17" s="278"/>
      <c r="C17" s="279"/>
      <c r="D17" s="279"/>
      <c r="E17" s="278"/>
      <c r="F17" s="17"/>
      <c r="G17" s="17"/>
    </row>
    <row r="18" spans="1:7" x14ac:dyDescent="0.2">
      <c r="A18" s="278"/>
      <c r="B18" s="278"/>
      <c r="C18" s="279"/>
      <c r="D18" s="279"/>
      <c r="E18" s="278"/>
      <c r="F18" s="17"/>
      <c r="G18" s="17"/>
    </row>
    <row r="19" spans="1:7" ht="25.5" customHeight="1" x14ac:dyDescent="0.2">
      <c r="A19" s="278"/>
      <c r="B19" s="278"/>
      <c r="C19" s="279"/>
      <c r="D19" s="279"/>
      <c r="E19" s="278"/>
      <c r="F19" s="17"/>
      <c r="G19" s="17"/>
    </row>
    <row r="20" spans="1:7" x14ac:dyDescent="0.2">
      <c r="A20" s="278"/>
      <c r="B20" s="278"/>
      <c r="C20" s="279"/>
      <c r="D20" s="279"/>
      <c r="E20" s="278"/>
    </row>
    <row r="26" spans="1:7" x14ac:dyDescent="0.2">
      <c r="C26" s="2"/>
      <c r="D26" s="2"/>
    </row>
  </sheetData>
  <mergeCells count="1">
    <mergeCell ref="A3:E4"/>
  </mergeCells>
  <pageMargins left="0.98425196850393704" right="0" top="0.98425196850393704" bottom="0.98425196850393704" header="0.51181102362204722" footer="0.51181102362204722"/>
  <pageSetup paperSize="9" scale="80" firstPageNumber="6" orientation="portrait" cellComments="asDisplayed" useFirstPageNumber="1" r:id="rId1"/>
  <headerFooter alignWithMargins="0">
    <oddFooter xml:space="preserve">&amp;L&amp;"Arial CE,Kurzíva"Zastupitelstvo Olomouckého kraje 24-04-2017
6.3.-Rozpočet Olomouckého kraje 2017-plnění rozpočtu k 28. 2. 2017
Příloha č. 1-Plnění rozpočtu Olomouckého kraje k 28. 2. 2017&amp;R&amp;"Arial CE,Kurzíva"Strana &amp;P (Celkem 7)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E3" sqref="E3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25" t="s">
        <v>116</v>
      </c>
      <c r="B1" s="126"/>
      <c r="C1" s="126"/>
      <c r="D1" s="126"/>
      <c r="E1" s="127"/>
      <c r="F1" s="127"/>
      <c r="G1" s="127"/>
      <c r="H1" s="127"/>
    </row>
    <row r="2" spans="1:21" s="128" customFormat="1" ht="15.75" x14ac:dyDescent="0.25">
      <c r="A2" s="129"/>
      <c r="B2" s="126"/>
      <c r="C2" s="126"/>
      <c r="D2" s="126"/>
      <c r="E2" s="127"/>
      <c r="F2" s="127"/>
      <c r="G2" s="127"/>
      <c r="H2" s="127"/>
    </row>
    <row r="3" spans="1:21" s="128" customFormat="1" ht="14.25" customHeight="1" x14ac:dyDescent="0.25">
      <c r="A3" s="130" t="s">
        <v>131</v>
      </c>
      <c r="B3" s="126"/>
      <c r="C3" s="126"/>
      <c r="D3" s="126"/>
      <c r="E3" s="127"/>
      <c r="F3" s="127"/>
      <c r="G3" s="127"/>
      <c r="H3" s="6"/>
    </row>
    <row r="4" spans="1:21" s="128" customFormat="1" ht="14.25" customHeight="1" thickBot="1" x14ac:dyDescent="0.3">
      <c r="A4" s="130"/>
      <c r="B4" s="126"/>
      <c r="C4" s="126"/>
      <c r="D4" s="126"/>
      <c r="E4" s="127"/>
      <c r="F4" s="127"/>
      <c r="G4" s="127"/>
      <c r="H4" s="208" t="s">
        <v>87</v>
      </c>
    </row>
    <row r="5" spans="1:21" s="128" customFormat="1" ht="14.25" customHeight="1" thickTop="1" thickBot="1" x14ac:dyDescent="0.25">
      <c r="A5" s="205"/>
      <c r="B5" s="206"/>
      <c r="C5" s="206"/>
      <c r="D5" s="207"/>
      <c r="E5" s="4" t="s">
        <v>2</v>
      </c>
      <c r="F5" s="4" t="s">
        <v>3</v>
      </c>
      <c r="G5" s="4" t="s">
        <v>4</v>
      </c>
      <c r="H5" s="8" t="s">
        <v>5</v>
      </c>
    </row>
    <row r="6" spans="1:21" s="128" customFormat="1" ht="14.25" customHeight="1" thickTop="1" thickBot="1" x14ac:dyDescent="0.25">
      <c r="A6" s="363">
        <v>1</v>
      </c>
      <c r="B6" s="364"/>
      <c r="C6" s="364"/>
      <c r="D6" s="365"/>
      <c r="E6" s="194">
        <v>2</v>
      </c>
      <c r="F6" s="194">
        <v>3</v>
      </c>
      <c r="G6" s="194">
        <v>4</v>
      </c>
      <c r="H6" s="195" t="s">
        <v>6</v>
      </c>
    </row>
    <row r="7" spans="1:21" s="131" customFormat="1" ht="19.5" thickTop="1" x14ac:dyDescent="0.4">
      <c r="A7" s="140" t="s">
        <v>51</v>
      </c>
      <c r="B7" s="153"/>
      <c r="C7" s="153"/>
      <c r="D7" s="183"/>
      <c r="E7" s="187">
        <f>Příjmy!B15</f>
        <v>4554855</v>
      </c>
      <c r="F7" s="187">
        <f>Příjmy!C15</f>
        <v>11148081</v>
      </c>
      <c r="G7" s="187">
        <f>Příjmy!D15</f>
        <v>2227499</v>
      </c>
      <c r="H7" s="154">
        <f>(G7/F7)*100</f>
        <v>19.981008390592066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</row>
    <row r="8" spans="1:21" s="131" customFormat="1" ht="18.75" x14ac:dyDescent="0.4">
      <c r="A8" s="143" t="s">
        <v>52</v>
      </c>
      <c r="B8" s="159"/>
      <c r="C8" s="159"/>
      <c r="D8" s="185"/>
      <c r="E8" s="189">
        <f>Výdaje!C135</f>
        <v>4621790</v>
      </c>
      <c r="F8" s="189">
        <f>Výdaje!D135</f>
        <v>11383070</v>
      </c>
      <c r="G8" s="189">
        <f>Výdaje!E135</f>
        <v>1620841</v>
      </c>
      <c r="H8" s="160">
        <f>(G8/F8)*100</f>
        <v>14.239049746685209</v>
      </c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1" s="131" customFormat="1" ht="18.75" x14ac:dyDescent="0.4">
      <c r="A9" s="143" t="s">
        <v>117</v>
      </c>
      <c r="B9" s="159"/>
      <c r="C9" s="159"/>
      <c r="D9" s="185"/>
      <c r="E9" s="189">
        <f>Financování!B12</f>
        <v>66935</v>
      </c>
      <c r="F9" s="189">
        <f>Financování!C12</f>
        <v>234989</v>
      </c>
      <c r="G9" s="189">
        <f>Financování!D12</f>
        <v>399265</v>
      </c>
      <c r="H9" s="160">
        <f>(G9/F9)*100</f>
        <v>169.90795313823199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s="131" customFormat="1" ht="21.75" customHeight="1" thickBot="1" x14ac:dyDescent="0.3">
      <c r="A10" s="132" t="s">
        <v>130</v>
      </c>
      <c r="B10" s="133"/>
      <c r="C10" s="133"/>
      <c r="D10" s="133"/>
      <c r="E10" s="134"/>
      <c r="F10" s="135"/>
      <c r="G10" s="196">
        <f>G7-G8</f>
        <v>606658</v>
      </c>
      <c r="H10" s="136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</row>
    <row r="11" spans="1:21" ht="13.5" thickTop="1" x14ac:dyDescent="0.2"/>
  </sheetData>
  <mergeCells count="1">
    <mergeCell ref="A6:D6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Footer xml:space="preserve">&amp;L&amp;"Arial CE,Kurzíva"Zastupitelstvo Olomouckého kraje 24-04-2017
6.3.-Rozpočet Olomouckého kraje 2017-plnění rozpočtu k 28. 2. 2017
Příloha č.1-Plnění rozpočtu Olomouckého kraje k 28. 2. 2017&amp;R&amp;"Arial CE,Kurzíva"Strana &amp;P (Celkem 7)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6" customWidth="1"/>
    <col min="2" max="2" width="5.140625" style="147" customWidth="1"/>
    <col min="3" max="3" width="14.85546875" style="24" customWidth="1"/>
    <col min="4" max="5" width="16" style="24" customWidth="1"/>
    <col min="6" max="6" width="8.42578125" style="24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56" t="s">
        <v>88</v>
      </c>
      <c r="B1" s="366"/>
      <c r="C1" s="366"/>
      <c r="D1" s="366"/>
      <c r="E1" s="366"/>
      <c r="F1" s="366"/>
      <c r="G1" s="220"/>
      <c r="H1" s="220"/>
      <c r="I1" s="220"/>
      <c r="K1" s="20"/>
    </row>
    <row r="2" spans="1:14" ht="15" thickBot="1" x14ac:dyDescent="0.25">
      <c r="F2" s="27" t="s">
        <v>0</v>
      </c>
      <c r="G2" s="27"/>
      <c r="H2" s="27"/>
      <c r="I2" s="27"/>
    </row>
    <row r="3" spans="1:14" s="29" customFormat="1" thickTop="1" thickBot="1" x14ac:dyDescent="0.25">
      <c r="A3" s="201" t="s">
        <v>15</v>
      </c>
      <c r="B3" s="202" t="s">
        <v>16</v>
      </c>
      <c r="C3" s="203" t="s">
        <v>17</v>
      </c>
      <c r="D3" s="203" t="s">
        <v>18</v>
      </c>
      <c r="E3" s="203" t="s">
        <v>4</v>
      </c>
      <c r="F3" s="204" t="s">
        <v>5</v>
      </c>
      <c r="G3" s="28"/>
      <c r="H3" s="28"/>
      <c r="I3" s="28"/>
      <c r="J3" s="98"/>
      <c r="K3" s="89"/>
      <c r="N3" s="30"/>
    </row>
    <row r="4" spans="1:14" s="43" customFormat="1" ht="15.75" thickTop="1" x14ac:dyDescent="0.25">
      <c r="A4" s="256" t="s">
        <v>24</v>
      </c>
      <c r="B4" s="148">
        <v>3</v>
      </c>
      <c r="C4" s="119">
        <f>C5+C6+C7+C8+C9</f>
        <v>299231</v>
      </c>
      <c r="D4" s="119">
        <f>D5+D6+D7+D8+D9</f>
        <v>303137</v>
      </c>
      <c r="E4" s="119">
        <f>E5+E6+E7+E8+E9</f>
        <v>187892</v>
      </c>
      <c r="F4" s="257">
        <f t="shared" ref="F4:F9" si="0">(E4/D4)*100</f>
        <v>61.982535949092323</v>
      </c>
      <c r="G4" s="32"/>
      <c r="H4" s="32"/>
      <c r="I4" s="32"/>
      <c r="J4" s="32"/>
      <c r="K4" s="90"/>
      <c r="N4" s="44"/>
    </row>
    <row r="5" spans="1:14" s="43" customFormat="1" x14ac:dyDescent="0.2">
      <c r="A5" s="258" t="s">
        <v>20</v>
      </c>
      <c r="B5" s="46"/>
      <c r="C5" s="36">
        <v>291081</v>
      </c>
      <c r="D5" s="36">
        <v>293591</v>
      </c>
      <c r="E5" s="36">
        <v>183624</v>
      </c>
      <c r="F5" s="259">
        <f t="shared" si="0"/>
        <v>62.544151557779358</v>
      </c>
      <c r="G5" s="37"/>
      <c r="H5" s="37"/>
      <c r="I5" s="37"/>
      <c r="J5" s="37"/>
      <c r="K5" s="78"/>
      <c r="N5" s="44"/>
    </row>
    <row r="6" spans="1:14" s="43" customFormat="1" x14ac:dyDescent="0.2">
      <c r="A6" s="258" t="s">
        <v>21</v>
      </c>
      <c r="B6" s="46"/>
      <c r="C6" s="36">
        <v>2200</v>
      </c>
      <c r="D6" s="36">
        <v>2480</v>
      </c>
      <c r="E6" s="36">
        <v>123</v>
      </c>
      <c r="F6" s="259">
        <f t="shared" si="0"/>
        <v>4.959677419354839</v>
      </c>
      <c r="G6" s="37"/>
      <c r="H6" s="37"/>
      <c r="I6" s="37"/>
      <c r="J6" s="37"/>
      <c r="K6" s="78"/>
      <c r="N6" s="44"/>
    </row>
    <row r="7" spans="1:14" s="38" customFormat="1" x14ac:dyDescent="0.2">
      <c r="A7" s="260" t="s">
        <v>22</v>
      </c>
      <c r="B7" s="35"/>
      <c r="C7" s="36">
        <v>0</v>
      </c>
      <c r="D7" s="36">
        <v>1116</v>
      </c>
      <c r="E7" s="36">
        <v>310</v>
      </c>
      <c r="F7" s="259">
        <f t="shared" si="0"/>
        <v>27.777777777777779</v>
      </c>
      <c r="G7" s="37"/>
      <c r="H7" s="121">
        <f>D7+D8</f>
        <v>1116</v>
      </c>
      <c r="I7" s="121">
        <f>E7+E8</f>
        <v>310</v>
      </c>
      <c r="J7" s="121"/>
      <c r="K7" s="78"/>
      <c r="N7" s="39"/>
    </row>
    <row r="8" spans="1:14" s="38" customFormat="1" x14ac:dyDescent="0.2">
      <c r="A8" s="260" t="s">
        <v>23</v>
      </c>
      <c r="B8" s="35"/>
      <c r="C8" s="36">
        <v>0</v>
      </c>
      <c r="D8" s="36">
        <v>0</v>
      </c>
      <c r="E8" s="36">
        <v>0</v>
      </c>
      <c r="F8" s="259">
        <v>0</v>
      </c>
      <c r="G8" s="37"/>
      <c r="H8" s="37"/>
      <c r="I8" s="37"/>
      <c r="J8" s="37"/>
      <c r="K8" s="78"/>
      <c r="N8" s="39"/>
    </row>
    <row r="9" spans="1:14" s="38" customFormat="1" ht="15" thickBot="1" x14ac:dyDescent="0.25">
      <c r="A9" s="261" t="s">
        <v>56</v>
      </c>
      <c r="B9" s="262"/>
      <c r="C9" s="263">
        <v>5950</v>
      </c>
      <c r="D9" s="263">
        <v>5950</v>
      </c>
      <c r="E9" s="263">
        <v>3835</v>
      </c>
      <c r="F9" s="264">
        <f t="shared" si="0"/>
        <v>64.453781512605048</v>
      </c>
      <c r="G9" s="37"/>
      <c r="H9" s="37"/>
      <c r="I9" s="37"/>
      <c r="J9" s="37"/>
      <c r="K9" s="78"/>
      <c r="N9" s="39"/>
    </row>
    <row r="10" spans="1:14" s="38" customFormat="1" ht="12.75" customHeight="1" x14ac:dyDescent="0.2">
      <c r="A10" s="51"/>
      <c r="B10" s="52"/>
      <c r="E10" s="210" t="e">
        <f>SUM(#REF!,#REF!,#REF!,#REF!,#REF!,#REF!,E4,#REF!,#REF!)</f>
        <v>#REF!</v>
      </c>
      <c r="F10" s="54"/>
      <c r="G10" s="54"/>
      <c r="H10" s="54"/>
      <c r="I10" s="54"/>
      <c r="J10" s="94"/>
      <c r="K10" s="58"/>
      <c r="N10" s="39"/>
    </row>
    <row r="11" spans="1:14" s="38" customFormat="1" ht="12.75" customHeight="1" x14ac:dyDescent="0.2">
      <c r="A11" s="51"/>
      <c r="B11" s="52"/>
      <c r="C11" s="59"/>
      <c r="D11" s="55"/>
      <c r="E11" s="210" t="e">
        <f>SUM(#REF!,#REF!,#REF!,#REF!,#REF!,#REF!,C4,#REF!,#REF!)</f>
        <v>#REF!</v>
      </c>
      <c r="F11" s="55"/>
      <c r="G11" s="54"/>
      <c r="H11" s="54"/>
      <c r="I11" s="54"/>
      <c r="J11" s="94"/>
      <c r="K11" s="58"/>
      <c r="N11" s="39"/>
    </row>
    <row r="12" spans="1:14" s="38" customFormat="1" ht="12.75" customHeight="1" x14ac:dyDescent="0.2">
      <c r="A12" s="51"/>
      <c r="B12" s="52"/>
      <c r="C12" s="59"/>
      <c r="D12" s="55"/>
      <c r="E12" s="55"/>
      <c r="F12" s="54"/>
      <c r="G12" s="54"/>
      <c r="H12" s="54"/>
      <c r="I12" s="54"/>
      <c r="J12" s="94"/>
      <c r="K12" s="58"/>
      <c r="N12" s="39"/>
    </row>
    <row r="13" spans="1:14" s="38" customFormat="1" ht="12.75" customHeight="1" x14ac:dyDescent="0.2">
      <c r="A13" s="51"/>
      <c r="B13" s="52"/>
      <c r="C13" s="57"/>
      <c r="D13" s="55"/>
      <c r="E13" s="55"/>
      <c r="F13" s="54"/>
      <c r="G13" s="54"/>
      <c r="H13" s="54"/>
      <c r="I13" s="54"/>
      <c r="J13" s="94"/>
      <c r="K13" s="58"/>
      <c r="N13" s="39"/>
    </row>
    <row r="14" spans="1:14" s="75" customFormat="1" ht="12.75" customHeight="1" x14ac:dyDescent="0.2">
      <c r="A14" s="51"/>
      <c r="B14" s="52"/>
      <c r="C14" s="57"/>
      <c r="D14" s="55"/>
      <c r="E14" s="55"/>
      <c r="F14" s="54"/>
      <c r="G14" s="54"/>
      <c r="H14" s="54"/>
      <c r="I14" s="54"/>
      <c r="J14" s="94"/>
      <c r="K14" s="58"/>
      <c r="N14" s="76"/>
    </row>
    <row r="15" spans="1:14" s="75" customFormat="1" ht="12.75" customHeight="1" x14ac:dyDescent="0.2">
      <c r="A15" s="51"/>
      <c r="B15" s="52"/>
      <c r="C15" s="57"/>
      <c r="D15" s="169"/>
      <c r="E15" s="169"/>
      <c r="F15" s="54"/>
      <c r="G15" s="54"/>
      <c r="H15" s="54"/>
      <c r="I15" s="54"/>
      <c r="J15" s="94"/>
      <c r="K15" s="58"/>
      <c r="N15" s="76"/>
    </row>
    <row r="16" spans="1:14" s="75" customFormat="1" ht="12.75" customHeight="1" x14ac:dyDescent="0.2">
      <c r="A16" s="51"/>
      <c r="B16" s="52"/>
      <c r="C16" s="57"/>
      <c r="D16" s="169"/>
      <c r="E16" s="169"/>
      <c r="F16" s="54"/>
      <c r="G16" s="54"/>
      <c r="H16" s="54"/>
      <c r="I16" s="54"/>
      <c r="J16" s="94"/>
      <c r="K16" s="58"/>
      <c r="N16" s="76"/>
    </row>
    <row r="17" spans="1:14" s="105" customFormat="1" ht="24" customHeight="1" x14ac:dyDescent="0.25">
      <c r="A17" s="238"/>
      <c r="B17" s="238"/>
      <c r="C17" s="239"/>
      <c r="D17" s="240"/>
      <c r="E17" s="239"/>
      <c r="F17" s="241"/>
      <c r="G17" s="32"/>
      <c r="H17" s="32"/>
      <c r="I17" s="32"/>
      <c r="J17" s="101"/>
      <c r="K17" s="96"/>
      <c r="L17" s="55"/>
      <c r="N17" s="106"/>
    </row>
    <row r="18" spans="1:14" s="105" customFormat="1" ht="18" x14ac:dyDescent="0.25">
      <c r="A18" s="242"/>
      <c r="B18" s="243"/>
      <c r="C18" s="244"/>
      <c r="D18" s="244"/>
      <c r="E18" s="244"/>
      <c r="F18" s="241"/>
      <c r="G18" s="32"/>
      <c r="H18" s="32"/>
      <c r="I18" s="32"/>
      <c r="J18" s="102"/>
      <c r="K18" s="97"/>
      <c r="L18" s="53"/>
      <c r="N18" s="106"/>
    </row>
    <row r="19" spans="1:14" s="105" customFormat="1" ht="15" hidden="1" thickTop="1" x14ac:dyDescent="0.2">
      <c r="A19" s="221"/>
      <c r="B19" s="52"/>
      <c r="C19" s="222"/>
      <c r="D19" s="222"/>
      <c r="E19" s="222"/>
      <c r="F19" s="223"/>
      <c r="G19" s="223"/>
      <c r="H19" s="223"/>
      <c r="I19" s="223"/>
      <c r="J19" s="94"/>
      <c r="K19" s="91"/>
      <c r="L19" s="224"/>
      <c r="N19" s="106"/>
    </row>
    <row r="20" spans="1:14" s="105" customFormat="1" ht="15" hidden="1" thickTop="1" x14ac:dyDescent="0.2">
      <c r="A20" s="221"/>
      <c r="B20" s="52"/>
      <c r="C20" s="222"/>
      <c r="D20" s="222"/>
      <c r="E20" s="222"/>
      <c r="F20" s="223"/>
      <c r="G20" s="223"/>
      <c r="H20" s="223"/>
      <c r="I20" s="223"/>
      <c r="J20" s="94"/>
      <c r="K20" s="91"/>
      <c r="L20" s="224"/>
      <c r="N20" s="106"/>
    </row>
    <row r="21" spans="1:14" s="105" customFormat="1" ht="15" hidden="1" thickTop="1" x14ac:dyDescent="0.2">
      <c r="A21" s="221"/>
      <c r="B21" s="52"/>
      <c r="C21" s="222"/>
      <c r="D21" s="222"/>
      <c r="E21" s="222"/>
      <c r="F21" s="223"/>
      <c r="G21" s="223"/>
      <c r="H21" s="223"/>
      <c r="I21" s="223"/>
      <c r="J21" s="94"/>
      <c r="K21" s="91"/>
      <c r="L21" s="224"/>
      <c r="N21" s="106"/>
    </row>
    <row r="22" spans="1:14" s="105" customFormat="1" ht="15.75" hidden="1" thickTop="1" x14ac:dyDescent="0.25">
      <c r="A22" s="221"/>
      <c r="B22" s="52"/>
      <c r="C22" s="225"/>
      <c r="D22" s="225"/>
      <c r="E22" s="225"/>
      <c r="F22" s="226"/>
      <c r="G22" s="226"/>
      <c r="H22" s="226"/>
      <c r="I22" s="226"/>
      <c r="J22" s="94"/>
      <c r="K22" s="90"/>
      <c r="L22" s="224"/>
      <c r="N22" s="106"/>
    </row>
    <row r="23" spans="1:14" s="105" customFormat="1" ht="15" hidden="1" thickTop="1" x14ac:dyDescent="0.2">
      <c r="A23" s="221"/>
      <c r="B23" s="52"/>
      <c r="C23" s="222"/>
      <c r="D23" s="222"/>
      <c r="E23" s="222"/>
      <c r="F23" s="223"/>
      <c r="G23" s="223"/>
      <c r="H23" s="223"/>
      <c r="I23" s="223"/>
      <c r="J23" s="94"/>
      <c r="K23" s="91"/>
      <c r="L23" s="224"/>
      <c r="N23" s="106"/>
    </row>
    <row r="24" spans="1:14" s="105" customFormat="1" ht="15" hidden="1" thickTop="1" x14ac:dyDescent="0.2">
      <c r="A24" s="221"/>
      <c r="B24" s="52"/>
      <c r="C24" s="222"/>
      <c r="D24" s="222"/>
      <c r="E24" s="222"/>
      <c r="F24" s="223"/>
      <c r="G24" s="223"/>
      <c r="H24" s="223"/>
      <c r="I24" s="223"/>
      <c r="J24" s="94"/>
      <c r="K24" s="91"/>
      <c r="L24" s="224"/>
      <c r="N24" s="106"/>
    </row>
    <row r="25" spans="1:14" s="105" customFormat="1" ht="15.75" hidden="1" thickTop="1" x14ac:dyDescent="0.25">
      <c r="A25" s="221"/>
      <c r="B25" s="52"/>
      <c r="C25" s="227"/>
      <c r="D25" s="227"/>
      <c r="E25" s="227"/>
      <c r="F25" s="222"/>
      <c r="G25" s="222"/>
      <c r="H25" s="222"/>
      <c r="I25" s="222"/>
      <c r="J25" s="94"/>
      <c r="K25" s="228"/>
      <c r="L25" s="224"/>
      <c r="N25" s="106"/>
    </row>
    <row r="26" spans="1:14" s="105" customFormat="1" ht="15" hidden="1" thickTop="1" x14ac:dyDescent="0.2">
      <c r="A26" s="221"/>
      <c r="B26" s="52"/>
      <c r="C26" s="229"/>
      <c r="D26" s="229"/>
      <c r="E26" s="229"/>
      <c r="F26" s="222"/>
      <c r="G26" s="222"/>
      <c r="H26" s="222"/>
      <c r="I26" s="222"/>
      <c r="J26" s="94"/>
      <c r="K26" s="230"/>
      <c r="L26" s="224"/>
      <c r="N26" s="106"/>
    </row>
    <row r="27" spans="1:14" s="105" customFormat="1" ht="18.75" hidden="1" thickTop="1" x14ac:dyDescent="0.25">
      <c r="A27" s="81"/>
      <c r="B27" s="82"/>
      <c r="C27" s="83"/>
      <c r="D27" s="83"/>
      <c r="E27" s="83"/>
      <c r="F27" s="84"/>
      <c r="G27" s="84"/>
      <c r="H27" s="84"/>
      <c r="I27" s="84"/>
      <c r="J27" s="94"/>
      <c r="K27" s="85"/>
      <c r="L27" s="224"/>
      <c r="N27" s="106"/>
    </row>
    <row r="28" spans="1:14" s="105" customFormat="1" ht="18" x14ac:dyDescent="0.25">
      <c r="A28" s="81"/>
      <c r="B28" s="82"/>
      <c r="C28" s="83"/>
      <c r="D28" s="83"/>
      <c r="E28" s="83"/>
      <c r="F28" s="86"/>
      <c r="G28" s="86"/>
      <c r="H28" s="86"/>
      <c r="I28" s="86"/>
      <c r="J28" s="94"/>
      <c r="K28" s="85"/>
      <c r="L28" s="224"/>
      <c r="N28" s="106"/>
    </row>
    <row r="29" spans="1:14" s="105" customFormat="1" ht="12.75" x14ac:dyDescent="0.2">
      <c r="A29" s="367"/>
      <c r="B29" s="368"/>
      <c r="C29" s="368"/>
      <c r="D29" s="368"/>
      <c r="E29" s="368"/>
      <c r="F29" s="368"/>
      <c r="G29" s="87"/>
      <c r="H29" s="87"/>
      <c r="I29" s="87"/>
      <c r="J29" s="94"/>
      <c r="K29" s="88"/>
      <c r="L29" s="224"/>
      <c r="N29" s="106"/>
    </row>
    <row r="30" spans="1:14" s="105" customFormat="1" ht="12.75" x14ac:dyDescent="0.2">
      <c r="A30" s="368"/>
      <c r="B30" s="368"/>
      <c r="C30" s="368"/>
      <c r="D30" s="368"/>
      <c r="E30" s="368"/>
      <c r="F30" s="368"/>
      <c r="G30" s="87"/>
      <c r="H30" s="87"/>
      <c r="I30" s="87"/>
      <c r="J30" s="94"/>
      <c r="K30" s="88"/>
      <c r="L30" s="224"/>
      <c r="N30" s="106"/>
    </row>
    <row r="31" spans="1:14" s="105" customFormat="1" hidden="1" x14ac:dyDescent="0.2">
      <c r="A31" s="221"/>
      <c r="B31" s="52"/>
      <c r="C31" s="222"/>
      <c r="D31" s="222"/>
      <c r="E31" s="222"/>
      <c r="F31" s="222"/>
      <c r="G31" s="222"/>
      <c r="H31" s="222"/>
      <c r="I31" s="222"/>
      <c r="J31" s="94"/>
      <c r="K31" s="91"/>
      <c r="L31" s="55"/>
      <c r="N31" s="106"/>
    </row>
    <row r="32" spans="1:14" s="105" customFormat="1" hidden="1" x14ac:dyDescent="0.2">
      <c r="A32" s="65"/>
      <c r="B32" s="52"/>
      <c r="C32" s="222"/>
      <c r="D32" s="222"/>
      <c r="E32" s="222"/>
      <c r="F32" s="222"/>
      <c r="G32" s="222"/>
      <c r="H32" s="222"/>
      <c r="I32" s="222"/>
      <c r="J32" s="94"/>
      <c r="K32" s="91"/>
      <c r="N32" s="106"/>
    </row>
    <row r="33" spans="1:14" s="105" customFormat="1" hidden="1" x14ac:dyDescent="0.2">
      <c r="A33" s="34"/>
      <c r="B33" s="52"/>
      <c r="C33" s="222"/>
      <c r="D33" s="222"/>
      <c r="E33" s="222"/>
      <c r="F33" s="222"/>
      <c r="G33" s="222"/>
      <c r="H33" s="222"/>
      <c r="I33" s="222"/>
      <c r="J33" s="94"/>
      <c r="K33" s="91"/>
      <c r="N33" s="106"/>
    </row>
    <row r="34" spans="1:14" s="105" customFormat="1" hidden="1" x14ac:dyDescent="0.2">
      <c r="A34" s="40"/>
      <c r="B34" s="52"/>
      <c r="C34" s="222"/>
      <c r="D34" s="222"/>
      <c r="E34" s="222"/>
      <c r="F34" s="222"/>
      <c r="G34" s="222"/>
      <c r="H34" s="222"/>
      <c r="I34" s="222"/>
      <c r="J34" s="94"/>
      <c r="K34" s="91"/>
      <c r="N34" s="106"/>
    </row>
    <row r="35" spans="1:14" s="105" customFormat="1" hidden="1" x14ac:dyDescent="0.2">
      <c r="A35" s="66"/>
      <c r="B35" s="52"/>
      <c r="C35" s="222"/>
      <c r="D35" s="222"/>
      <c r="E35" s="222"/>
      <c r="F35" s="222"/>
      <c r="G35" s="222"/>
      <c r="H35" s="222"/>
      <c r="I35" s="222"/>
      <c r="J35" s="94"/>
      <c r="K35" s="91"/>
      <c r="N35" s="106"/>
    </row>
    <row r="36" spans="1:14" s="105" customFormat="1" hidden="1" x14ac:dyDescent="0.2">
      <c r="A36" s="67"/>
      <c r="B36" s="52"/>
      <c r="C36" s="222"/>
      <c r="D36" s="222"/>
      <c r="E36" s="222"/>
      <c r="F36" s="222"/>
      <c r="G36" s="222"/>
      <c r="H36" s="222"/>
      <c r="I36" s="222"/>
      <c r="J36" s="94"/>
      <c r="K36" s="91"/>
      <c r="N36" s="106"/>
    </row>
    <row r="37" spans="1:14" s="105" customFormat="1" hidden="1" x14ac:dyDescent="0.2">
      <c r="A37" s="65"/>
      <c r="B37" s="52"/>
      <c r="C37" s="222"/>
      <c r="D37" s="222"/>
      <c r="E37" s="222"/>
      <c r="F37" s="222"/>
      <c r="G37" s="222"/>
      <c r="H37" s="222"/>
      <c r="I37" s="222"/>
      <c r="J37" s="94"/>
      <c r="K37" s="91"/>
      <c r="N37" s="106"/>
    </row>
    <row r="38" spans="1:14" s="105" customFormat="1" hidden="1" x14ac:dyDescent="0.2">
      <c r="A38" s="34"/>
      <c r="B38" s="52"/>
      <c r="C38" s="222"/>
      <c r="D38" s="222"/>
      <c r="E38" s="222"/>
      <c r="F38" s="222"/>
      <c r="G38" s="222"/>
      <c r="H38" s="222"/>
      <c r="I38" s="222"/>
      <c r="J38" s="94"/>
      <c r="K38" s="91"/>
      <c r="N38" s="106"/>
    </row>
    <row r="39" spans="1:14" s="105" customFormat="1" hidden="1" x14ac:dyDescent="0.2">
      <c r="A39" s="66"/>
      <c r="B39" s="52"/>
      <c r="C39" s="222"/>
      <c r="D39" s="222"/>
      <c r="E39" s="222"/>
      <c r="F39" s="222"/>
      <c r="G39" s="222"/>
      <c r="H39" s="222"/>
      <c r="I39" s="222"/>
      <c r="J39" s="94"/>
      <c r="K39" s="91"/>
      <c r="N39" s="106"/>
    </row>
    <row r="40" spans="1:14" s="105" customFormat="1" hidden="1" x14ac:dyDescent="0.2">
      <c r="A40" s="47"/>
      <c r="B40" s="52"/>
      <c r="C40" s="222"/>
      <c r="D40" s="222"/>
      <c r="E40" s="222"/>
      <c r="F40" s="222"/>
      <c r="G40" s="222"/>
      <c r="H40" s="222"/>
      <c r="I40" s="222"/>
      <c r="J40" s="94"/>
      <c r="K40" s="91"/>
      <c r="N40" s="106"/>
    </row>
    <row r="41" spans="1:14" s="105" customFormat="1" hidden="1" x14ac:dyDescent="0.2">
      <c r="A41" s="221"/>
      <c r="B41" s="52"/>
      <c r="C41" s="222"/>
      <c r="D41" s="222"/>
      <c r="E41" s="222"/>
      <c r="F41" s="222"/>
      <c r="G41" s="222"/>
      <c r="H41" s="222"/>
      <c r="I41" s="222"/>
      <c r="J41" s="94"/>
      <c r="K41" s="91"/>
      <c r="N41" s="106"/>
    </row>
    <row r="42" spans="1:14" s="105" customFormat="1" hidden="1" x14ac:dyDescent="0.2">
      <c r="A42" s="221"/>
      <c r="B42" s="52"/>
      <c r="C42" s="222"/>
      <c r="D42" s="222"/>
      <c r="E42" s="222"/>
      <c r="F42" s="222"/>
      <c r="G42" s="222"/>
      <c r="H42" s="222"/>
      <c r="I42" s="222"/>
      <c r="J42" s="94"/>
      <c r="K42" s="91"/>
      <c r="N42" s="106"/>
    </row>
    <row r="43" spans="1:14" s="105" customFormat="1" x14ac:dyDescent="0.2">
      <c r="A43" s="221"/>
      <c r="B43" s="52"/>
      <c r="C43" s="222"/>
      <c r="D43" s="222"/>
      <c r="E43" s="222"/>
      <c r="F43" s="222"/>
      <c r="G43" s="222"/>
      <c r="H43" s="222"/>
      <c r="I43" s="222"/>
      <c r="J43" s="94"/>
      <c r="K43" s="91"/>
      <c r="N43" s="106"/>
    </row>
    <row r="44" spans="1:14" s="105" customFormat="1" ht="15" x14ac:dyDescent="0.25">
      <c r="A44" s="245"/>
      <c r="B44" s="52"/>
      <c r="C44" s="222"/>
      <c r="D44" s="222"/>
      <c r="E44" s="222"/>
      <c r="F44" s="231"/>
      <c r="G44" s="222"/>
      <c r="H44" s="222"/>
      <c r="I44" s="222"/>
      <c r="J44" s="94"/>
      <c r="K44" s="91"/>
      <c r="N44" s="106"/>
    </row>
    <row r="45" spans="1:14" s="232" customFormat="1" ht="12.75" x14ac:dyDescent="0.2">
      <c r="A45" s="246"/>
      <c r="B45" s="247"/>
      <c r="C45" s="248"/>
      <c r="D45" s="248"/>
      <c r="E45" s="248"/>
      <c r="F45" s="249"/>
      <c r="G45" s="28"/>
      <c r="H45" s="28"/>
      <c r="I45" s="28"/>
      <c r="J45" s="219"/>
      <c r="K45" s="89"/>
      <c r="N45" s="233"/>
    </row>
    <row r="46" spans="1:14" s="232" customFormat="1" ht="12.75" x14ac:dyDescent="0.2">
      <c r="A46" s="250"/>
      <c r="B46" s="251"/>
      <c r="C46" s="251"/>
      <c r="D46" s="251"/>
      <c r="E46" s="251"/>
      <c r="F46" s="249"/>
      <c r="G46" s="28"/>
      <c r="H46" s="28"/>
      <c r="I46" s="28"/>
      <c r="J46" s="98"/>
      <c r="K46" s="89"/>
      <c r="N46" s="233"/>
    </row>
    <row r="47" spans="1:14" s="105" customFormat="1" x14ac:dyDescent="0.2">
      <c r="A47" s="221"/>
      <c r="B47" s="52"/>
      <c r="C47" s="222"/>
      <c r="D47" s="121"/>
      <c r="E47" s="121"/>
      <c r="F47" s="252"/>
      <c r="H47" s="224"/>
      <c r="I47" s="224"/>
      <c r="J47" s="224"/>
      <c r="K47" s="91"/>
      <c r="N47" s="106"/>
    </row>
    <row r="48" spans="1:14" s="105" customFormat="1" x14ac:dyDescent="0.2">
      <c r="A48" s="369"/>
      <c r="B48" s="52"/>
      <c r="C48" s="121"/>
      <c r="D48" s="211"/>
      <c r="E48" s="121"/>
      <c r="F48" s="252"/>
      <c r="H48" s="234"/>
      <c r="I48" s="234"/>
      <c r="J48" s="234"/>
      <c r="K48" s="91"/>
      <c r="N48" s="106"/>
    </row>
    <row r="49" spans="1:14" s="105" customFormat="1" x14ac:dyDescent="0.2">
      <c r="A49" s="369"/>
      <c r="B49" s="52"/>
      <c r="C49" s="121"/>
      <c r="D49" s="121"/>
      <c r="E49" s="121"/>
      <c r="F49" s="252"/>
      <c r="H49" s="235"/>
      <c r="I49" s="222"/>
      <c r="J49" s="53"/>
      <c r="K49" s="78"/>
      <c r="N49" s="106"/>
    </row>
    <row r="50" spans="1:14" s="105" customFormat="1" x14ac:dyDescent="0.2">
      <c r="A50" s="253"/>
      <c r="B50" s="52"/>
      <c r="C50" s="121"/>
      <c r="D50" s="211"/>
      <c r="E50" s="121"/>
      <c r="F50" s="252"/>
      <c r="I50" s="236"/>
      <c r="J50" s="236"/>
      <c r="K50" s="91"/>
      <c r="N50" s="106"/>
    </row>
    <row r="51" spans="1:14" s="105" customFormat="1" x14ac:dyDescent="0.2">
      <c r="A51" s="254"/>
      <c r="B51" s="52"/>
      <c r="C51" s="121"/>
      <c r="D51" s="211"/>
      <c r="E51" s="121"/>
      <c r="F51" s="252"/>
      <c r="I51" s="222"/>
      <c r="J51" s="237"/>
      <c r="K51" s="91"/>
      <c r="N51" s="106"/>
    </row>
    <row r="52" spans="1:14" s="105" customFormat="1" x14ac:dyDescent="0.2">
      <c r="A52" s="255"/>
      <c r="B52" s="52"/>
      <c r="C52" s="121"/>
      <c r="D52" s="211"/>
      <c r="E52" s="121"/>
      <c r="F52" s="252"/>
      <c r="I52" s="222"/>
      <c r="J52" s="237"/>
      <c r="K52" s="91"/>
      <c r="N52" s="106"/>
    </row>
    <row r="53" spans="1:14" s="105" customFormat="1" ht="15" x14ac:dyDescent="0.25">
      <c r="A53" s="245"/>
      <c r="B53" s="52"/>
      <c r="C53" s="225"/>
      <c r="D53" s="225"/>
      <c r="E53" s="225"/>
      <c r="F53" s="241"/>
      <c r="H53" s="224"/>
      <c r="I53" s="222"/>
      <c r="J53" s="237"/>
      <c r="K53" s="91"/>
      <c r="N53" s="106"/>
    </row>
    <row r="54" spans="1:14" s="105" customFormat="1" x14ac:dyDescent="0.2">
      <c r="A54" s="221"/>
      <c r="B54" s="52"/>
      <c r="C54" s="222"/>
      <c r="D54" s="211"/>
      <c r="E54" s="211"/>
      <c r="F54" s="222"/>
      <c r="G54" s="222"/>
      <c r="H54" s="222"/>
      <c r="I54" s="222"/>
      <c r="J54" s="237"/>
      <c r="K54" s="91"/>
      <c r="N54" s="106"/>
    </row>
    <row r="55" spans="1:14" s="105" customFormat="1" x14ac:dyDescent="0.2">
      <c r="A55" s="221"/>
      <c r="B55" s="52"/>
      <c r="C55" s="222"/>
      <c r="D55" s="222"/>
      <c r="E55" s="222"/>
      <c r="F55" s="222"/>
      <c r="G55" s="222"/>
      <c r="H55" s="222"/>
      <c r="I55" s="222"/>
      <c r="J55" s="237"/>
      <c r="K55" s="91"/>
      <c r="N55" s="106"/>
    </row>
    <row r="56" spans="1:14" s="105" customFormat="1" x14ac:dyDescent="0.2">
      <c r="A56" s="221"/>
      <c r="B56" s="52"/>
      <c r="C56" s="222"/>
      <c r="D56" s="222"/>
      <c r="E56" s="222"/>
      <c r="F56" s="222"/>
      <c r="G56" s="222"/>
      <c r="H56" s="222"/>
      <c r="I56" s="222"/>
      <c r="J56" s="237"/>
      <c r="K56" s="91"/>
      <c r="N56" s="106"/>
    </row>
    <row r="57" spans="1:14" s="105" customFormat="1" x14ac:dyDescent="0.2">
      <c r="A57" s="221"/>
      <c r="B57" s="52"/>
      <c r="C57" s="222"/>
      <c r="D57" s="222"/>
      <c r="E57" s="222"/>
      <c r="F57" s="222"/>
      <c r="G57" s="222"/>
      <c r="H57" s="222"/>
      <c r="I57" s="222"/>
      <c r="J57" s="237"/>
      <c r="K57" s="91"/>
      <c r="N57" s="106"/>
    </row>
    <row r="58" spans="1:14" s="105" customFormat="1" x14ac:dyDescent="0.2">
      <c r="A58" s="221"/>
      <c r="B58" s="52"/>
      <c r="C58" s="222"/>
      <c r="D58" s="222"/>
      <c r="E58" s="222"/>
      <c r="F58" s="222"/>
      <c r="G58" s="222"/>
      <c r="H58" s="222"/>
      <c r="I58" s="222"/>
      <c r="J58" s="237"/>
      <c r="K58" s="91"/>
      <c r="N58" s="106"/>
    </row>
    <row r="59" spans="1:14" s="105" customFormat="1" x14ac:dyDescent="0.2">
      <c r="A59" s="221"/>
      <c r="B59" s="52"/>
      <c r="C59" s="222"/>
      <c r="D59" s="222"/>
      <c r="E59" s="222"/>
      <c r="F59" s="222"/>
      <c r="G59" s="222"/>
      <c r="H59" s="222"/>
      <c r="I59" s="222"/>
      <c r="J59" s="237"/>
      <c r="K59" s="91"/>
      <c r="N59" s="106"/>
    </row>
    <row r="60" spans="1:14" s="105" customFormat="1" x14ac:dyDescent="0.2">
      <c r="A60" s="221"/>
      <c r="B60" s="52"/>
      <c r="C60" s="222"/>
      <c r="D60" s="222"/>
      <c r="E60" s="222"/>
      <c r="F60" s="222"/>
      <c r="G60" s="222"/>
      <c r="H60" s="222"/>
      <c r="I60" s="222"/>
      <c r="J60" s="237"/>
      <c r="K60" s="91"/>
      <c r="N60" s="106"/>
    </row>
    <row r="61" spans="1:14" s="105" customFormat="1" x14ac:dyDescent="0.2">
      <c r="A61" s="221"/>
      <c r="B61" s="52"/>
      <c r="C61" s="222"/>
      <c r="D61" s="222"/>
      <c r="E61" s="222"/>
      <c r="F61" s="222"/>
      <c r="G61" s="222"/>
      <c r="H61" s="222"/>
      <c r="I61" s="222"/>
      <c r="J61" s="237"/>
      <c r="K61" s="91"/>
      <c r="N61" s="106"/>
    </row>
    <row r="62" spans="1:14" s="105" customFormat="1" x14ac:dyDescent="0.2">
      <c r="A62" s="221"/>
      <c r="B62" s="52"/>
      <c r="C62" s="222"/>
      <c r="D62" s="222"/>
      <c r="E62" s="222"/>
      <c r="F62" s="222"/>
      <c r="G62" s="222"/>
      <c r="H62" s="222"/>
      <c r="I62" s="222"/>
      <c r="J62" s="237"/>
      <c r="K62" s="91"/>
      <c r="N62" s="106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37"/>
      <c r="B3" s="137" t="s">
        <v>48</v>
      </c>
      <c r="C3" s="137" t="s">
        <v>49</v>
      </c>
    </row>
    <row r="4" spans="1:3" x14ac:dyDescent="0.2">
      <c r="A4" s="137" t="s">
        <v>17</v>
      </c>
      <c r="B4" s="137">
        <f>Rekapitulace!E7</f>
        <v>4554855</v>
      </c>
      <c r="C4" s="137">
        <f>Rekapitulace!E8</f>
        <v>4621790</v>
      </c>
    </row>
    <row r="5" spans="1:3" x14ac:dyDescent="0.2">
      <c r="A5" s="137" t="s">
        <v>18</v>
      </c>
      <c r="B5" s="137">
        <f>Rekapitulace!F7</f>
        <v>11148081</v>
      </c>
      <c r="C5" s="137">
        <f>Rekapitulace!F8</f>
        <v>11383070</v>
      </c>
    </row>
    <row r="6" spans="1:3" x14ac:dyDescent="0.2">
      <c r="A6" s="137" t="s">
        <v>4</v>
      </c>
      <c r="B6" s="137">
        <f>Rekapitulace!G7</f>
        <v>2227499</v>
      </c>
      <c r="C6" s="137">
        <f>Rekapitulace!G8</f>
        <v>1620841</v>
      </c>
    </row>
    <row r="32" spans="1:3" x14ac:dyDescent="0.2">
      <c r="A32" s="137"/>
      <c r="B32" s="137" t="s">
        <v>54</v>
      </c>
      <c r="C32" s="137" t="s">
        <v>55</v>
      </c>
    </row>
    <row r="33" spans="1:3" x14ac:dyDescent="0.2">
      <c r="A33" s="137" t="s">
        <v>17</v>
      </c>
      <c r="B33" s="137" t="e">
        <f>Příjmy!#REF!</f>
        <v>#REF!</v>
      </c>
      <c r="C33" s="137" t="e">
        <f>Výdaje!#REF!</f>
        <v>#REF!</v>
      </c>
    </row>
    <row r="34" spans="1:3" x14ac:dyDescent="0.2">
      <c r="A34" s="137" t="s">
        <v>18</v>
      </c>
      <c r="B34" s="137" t="e">
        <f>Příjmy!#REF!</f>
        <v>#REF!</v>
      </c>
      <c r="C34" s="137" t="e">
        <f>Výdaje!#REF!</f>
        <v>#REF!</v>
      </c>
    </row>
    <row r="35" spans="1:3" x14ac:dyDescent="0.2">
      <c r="A35" s="137" t="s">
        <v>4</v>
      </c>
      <c r="B35" s="137" t="e">
        <f>Příjmy!#REF!</f>
        <v>#REF!</v>
      </c>
      <c r="C35" s="137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78">
        <v>8115</v>
      </c>
    </row>
    <row r="3" spans="1:6" x14ac:dyDescent="0.2">
      <c r="C3" s="175">
        <f>D3+D4+D5</f>
        <v>161414000</v>
      </c>
      <c r="D3" s="172">
        <v>41142000</v>
      </c>
      <c r="E3" t="s">
        <v>69</v>
      </c>
      <c r="F3" t="s">
        <v>73</v>
      </c>
    </row>
    <row r="4" spans="1:6" x14ac:dyDescent="0.2">
      <c r="C4" s="172"/>
      <c r="D4" s="172">
        <v>97035000</v>
      </c>
      <c r="E4" t="s">
        <v>70</v>
      </c>
      <c r="F4" t="s">
        <v>73</v>
      </c>
    </row>
    <row r="5" spans="1:6" x14ac:dyDescent="0.2">
      <c r="C5" s="172"/>
      <c r="D5" s="172">
        <v>23237000</v>
      </c>
      <c r="E5" t="s">
        <v>71</v>
      </c>
      <c r="F5" t="s">
        <v>73</v>
      </c>
    </row>
    <row r="6" spans="1:6" x14ac:dyDescent="0.2">
      <c r="C6" s="172"/>
    </row>
    <row r="8" spans="1:6" x14ac:dyDescent="0.2">
      <c r="A8" s="176" t="s">
        <v>58</v>
      </c>
      <c r="B8" s="176" t="s">
        <v>16</v>
      </c>
      <c r="C8" s="177">
        <v>8115</v>
      </c>
      <c r="D8" s="176" t="s">
        <v>59</v>
      </c>
      <c r="E8" s="176" t="s">
        <v>60</v>
      </c>
    </row>
    <row r="9" spans="1:6" x14ac:dyDescent="0.2">
      <c r="A9" s="173" t="s">
        <v>72</v>
      </c>
      <c r="B9">
        <v>11</v>
      </c>
      <c r="C9" s="180">
        <v>139046.97</v>
      </c>
      <c r="E9">
        <v>71000100686</v>
      </c>
    </row>
    <row r="10" spans="1:6" x14ac:dyDescent="0.2">
      <c r="A10" s="173" t="s">
        <v>61</v>
      </c>
      <c r="B10">
        <v>58</v>
      </c>
      <c r="C10" s="180">
        <v>22919266.140000001</v>
      </c>
      <c r="E10">
        <v>71000000000</v>
      </c>
    </row>
    <row r="11" spans="1:6" x14ac:dyDescent="0.2">
      <c r="A11" s="173" t="s">
        <v>62</v>
      </c>
      <c r="B11">
        <v>63</v>
      </c>
      <c r="C11" s="180">
        <v>28596708.789999999</v>
      </c>
      <c r="E11">
        <v>71000000000</v>
      </c>
    </row>
    <row r="12" spans="1:6" x14ac:dyDescent="0.2">
      <c r="A12" s="173" t="s">
        <v>63</v>
      </c>
      <c r="B12">
        <v>68</v>
      </c>
      <c r="C12" s="180">
        <v>19248386.399999999</v>
      </c>
      <c r="E12">
        <v>71000000000</v>
      </c>
    </row>
    <row r="13" spans="1:6" x14ac:dyDescent="0.2">
      <c r="A13" s="173" t="s">
        <v>64</v>
      </c>
      <c r="B13">
        <v>53</v>
      </c>
      <c r="C13" s="180">
        <v>2849258.72</v>
      </c>
      <c r="E13">
        <v>71000000000</v>
      </c>
    </row>
    <row r="14" spans="1:6" x14ac:dyDescent="0.2">
      <c r="A14" s="173" t="s">
        <v>64</v>
      </c>
      <c r="B14">
        <v>54</v>
      </c>
      <c r="C14" s="180">
        <v>171141.26</v>
      </c>
      <c r="E14">
        <v>71000000000</v>
      </c>
    </row>
    <row r="15" spans="1:6" x14ac:dyDescent="0.2">
      <c r="A15" s="173" t="s">
        <v>64</v>
      </c>
      <c r="B15">
        <v>55</v>
      </c>
      <c r="C15" s="180">
        <v>85448.15</v>
      </c>
      <c r="E15">
        <v>71000000000</v>
      </c>
    </row>
    <row r="16" spans="1:6" x14ac:dyDescent="0.2">
      <c r="A16" s="173" t="s">
        <v>65</v>
      </c>
      <c r="B16">
        <v>56</v>
      </c>
      <c r="C16" s="180">
        <v>46667546.780000001</v>
      </c>
      <c r="E16">
        <v>71000000000</v>
      </c>
    </row>
    <row r="17" spans="1:7" x14ac:dyDescent="0.2">
      <c r="A17" s="173" t="s">
        <v>65</v>
      </c>
      <c r="B17">
        <v>57</v>
      </c>
      <c r="C17" s="180">
        <v>14942427.93</v>
      </c>
      <c r="E17">
        <v>71000000000</v>
      </c>
    </row>
    <row r="18" spans="1:7" x14ac:dyDescent="0.2">
      <c r="A18" s="173" t="s">
        <v>66</v>
      </c>
      <c r="B18">
        <v>60</v>
      </c>
      <c r="C18" s="180">
        <v>48299146.789999999</v>
      </c>
      <c r="E18">
        <v>71000000000</v>
      </c>
    </row>
    <row r="19" spans="1:7" x14ac:dyDescent="0.2">
      <c r="A19" s="173" t="s">
        <v>67</v>
      </c>
      <c r="B19">
        <v>64</v>
      </c>
      <c r="C19" s="180">
        <v>170000</v>
      </c>
      <c r="E19">
        <v>71000100493</v>
      </c>
    </row>
    <row r="20" spans="1:7" x14ac:dyDescent="0.2">
      <c r="A20" s="173" t="s">
        <v>68</v>
      </c>
      <c r="B20">
        <v>66</v>
      </c>
      <c r="C20" s="180">
        <v>42362429.25</v>
      </c>
      <c r="E20">
        <v>71000000000</v>
      </c>
    </row>
    <row r="21" spans="1:7" x14ac:dyDescent="0.2">
      <c r="A21" s="173" t="s">
        <v>68</v>
      </c>
      <c r="B21">
        <v>67</v>
      </c>
      <c r="C21" s="180">
        <v>15396049.710000001</v>
      </c>
      <c r="E21">
        <v>71000000000</v>
      </c>
    </row>
    <row r="22" spans="1:7" x14ac:dyDescent="0.2">
      <c r="A22" s="173" t="s">
        <v>74</v>
      </c>
      <c r="B22">
        <v>7</v>
      </c>
      <c r="C22" s="181">
        <v>223975684.03</v>
      </c>
      <c r="D22">
        <v>813</v>
      </c>
      <c r="E22">
        <v>71000000000</v>
      </c>
    </row>
    <row r="23" spans="1:7" x14ac:dyDescent="0.2">
      <c r="A23" s="173" t="s">
        <v>74</v>
      </c>
      <c r="B23">
        <v>7</v>
      </c>
      <c r="C23" s="180">
        <v>24976497.02</v>
      </c>
      <c r="D23">
        <v>887</v>
      </c>
      <c r="E23">
        <v>71000000000</v>
      </c>
      <c r="F23" s="179"/>
    </row>
    <row r="24" spans="1:7" x14ac:dyDescent="0.2">
      <c r="A24" s="173" t="s">
        <v>75</v>
      </c>
      <c r="B24">
        <v>64</v>
      </c>
      <c r="C24" s="180">
        <v>31424.83</v>
      </c>
      <c r="E24">
        <v>71000100070</v>
      </c>
      <c r="F24" s="179"/>
    </row>
    <row r="25" spans="1:7" x14ac:dyDescent="0.2">
      <c r="A25" s="173" t="s">
        <v>76</v>
      </c>
      <c r="B25">
        <v>71</v>
      </c>
      <c r="C25" s="180">
        <v>11000</v>
      </c>
      <c r="E25">
        <v>71000000000</v>
      </c>
      <c r="F25" s="179"/>
    </row>
    <row r="26" spans="1:7" x14ac:dyDescent="0.2">
      <c r="A26" s="173" t="s">
        <v>77</v>
      </c>
      <c r="B26">
        <v>7</v>
      </c>
      <c r="C26" s="180">
        <v>174168.18</v>
      </c>
      <c r="D26">
        <v>19</v>
      </c>
      <c r="E26">
        <v>73003000000</v>
      </c>
      <c r="F26" s="179"/>
    </row>
    <row r="27" spans="1:7" x14ac:dyDescent="0.2">
      <c r="A27" s="173" t="s">
        <v>79</v>
      </c>
      <c r="B27">
        <v>64</v>
      </c>
      <c r="C27" s="180">
        <v>1793591.61</v>
      </c>
      <c r="E27">
        <v>71000100493</v>
      </c>
      <c r="F27" s="179"/>
    </row>
    <row r="28" spans="1:7" x14ac:dyDescent="0.2">
      <c r="A28" s="173" t="s">
        <v>80</v>
      </c>
      <c r="B28">
        <v>64</v>
      </c>
      <c r="C28" s="180">
        <v>1433086.82</v>
      </c>
      <c r="E28">
        <v>71000100580</v>
      </c>
      <c r="F28" s="179"/>
    </row>
    <row r="29" spans="1:7" x14ac:dyDescent="0.2">
      <c r="A29" s="173" t="s">
        <v>81</v>
      </c>
      <c r="B29">
        <v>7</v>
      </c>
      <c r="C29" s="180">
        <v>8028426</v>
      </c>
      <c r="E29">
        <v>71000000000</v>
      </c>
      <c r="F29" s="179"/>
    </row>
    <row r="30" spans="1:7" x14ac:dyDescent="0.2">
      <c r="A30" s="173" t="s">
        <v>78</v>
      </c>
      <c r="B30">
        <v>7</v>
      </c>
      <c r="C30" s="180">
        <v>8511507.6600000001</v>
      </c>
      <c r="E30">
        <v>71000000000</v>
      </c>
      <c r="F30" s="180" t="s">
        <v>84</v>
      </c>
      <c r="G30" s="172">
        <f>SUM(C9:C30)</f>
        <v>510782243.04000002</v>
      </c>
    </row>
    <row r="31" spans="1:7" x14ac:dyDescent="0.2">
      <c r="A31" s="173" t="s">
        <v>82</v>
      </c>
      <c r="B31">
        <v>7</v>
      </c>
      <c r="C31" s="180">
        <v>62860</v>
      </c>
      <c r="D31">
        <v>19</v>
      </c>
      <c r="E31">
        <v>73001000000</v>
      </c>
      <c r="F31" s="172"/>
      <c r="G31" s="172"/>
    </row>
    <row r="32" spans="1:7" x14ac:dyDescent="0.2">
      <c r="A32" s="174" t="s">
        <v>83</v>
      </c>
      <c r="B32">
        <v>10</v>
      </c>
      <c r="C32" s="180">
        <v>11618</v>
      </c>
      <c r="D32">
        <v>19</v>
      </c>
      <c r="E32">
        <v>71000000000</v>
      </c>
      <c r="F32" s="175"/>
      <c r="G32" s="172"/>
    </row>
    <row r="33" spans="1:7" x14ac:dyDescent="0.2">
      <c r="A33" s="174" t="s">
        <v>83</v>
      </c>
      <c r="B33">
        <v>10</v>
      </c>
      <c r="C33" s="180">
        <v>14430.49</v>
      </c>
      <c r="D33">
        <v>19</v>
      </c>
      <c r="E33">
        <v>71000000000</v>
      </c>
      <c r="F33" s="172" t="s">
        <v>85</v>
      </c>
      <c r="G33" s="172">
        <f>SUM(C31:C33)</f>
        <v>88908.49</v>
      </c>
    </row>
    <row r="34" spans="1:7" x14ac:dyDescent="0.2">
      <c r="A34" s="174" t="s">
        <v>92</v>
      </c>
      <c r="B34">
        <v>7</v>
      </c>
      <c r="C34" s="180">
        <v>1716423.13</v>
      </c>
      <c r="D34">
        <v>19</v>
      </c>
      <c r="E34">
        <v>73000000000</v>
      </c>
      <c r="F34" s="172" t="s">
        <v>89</v>
      </c>
      <c r="G34" s="172">
        <f>C34</f>
        <v>1716423.13</v>
      </c>
    </row>
    <row r="35" spans="1:7" x14ac:dyDescent="0.2">
      <c r="A35" s="174" t="s">
        <v>93</v>
      </c>
      <c r="B35">
        <v>99</v>
      </c>
      <c r="C35" s="180">
        <v>25196737.460000001</v>
      </c>
      <c r="E35">
        <v>71000000000</v>
      </c>
      <c r="F35" s="172"/>
      <c r="G35" s="172"/>
    </row>
    <row r="36" spans="1:7" x14ac:dyDescent="0.2">
      <c r="A36" s="174" t="s">
        <v>94</v>
      </c>
      <c r="B36">
        <v>7</v>
      </c>
      <c r="C36" s="180">
        <v>168935624.75</v>
      </c>
      <c r="D36">
        <v>24</v>
      </c>
      <c r="E36">
        <v>71000000000</v>
      </c>
      <c r="F36" s="172"/>
      <c r="G36" s="172"/>
    </row>
    <row r="37" spans="1:7" x14ac:dyDescent="0.2">
      <c r="A37" s="174" t="s">
        <v>94</v>
      </c>
      <c r="B37">
        <v>7</v>
      </c>
      <c r="C37" s="180">
        <v>19089.3</v>
      </c>
      <c r="D37">
        <v>25</v>
      </c>
      <c r="E37">
        <v>71000000000</v>
      </c>
      <c r="F37" s="172" t="s">
        <v>90</v>
      </c>
      <c r="G37" s="172">
        <f>C35+C36+C37</f>
        <v>194151451.51000002</v>
      </c>
    </row>
    <row r="38" spans="1:7" x14ac:dyDescent="0.2">
      <c r="A38" s="174" t="s">
        <v>95</v>
      </c>
      <c r="B38">
        <v>199</v>
      </c>
      <c r="C38" s="180">
        <v>771707.14</v>
      </c>
      <c r="E38">
        <v>71000000000</v>
      </c>
      <c r="F38" s="172" t="s">
        <v>91</v>
      </c>
      <c r="G38" s="172">
        <f>C38</f>
        <v>771707.14</v>
      </c>
    </row>
    <row r="39" spans="1:7" x14ac:dyDescent="0.2">
      <c r="A39" s="174"/>
      <c r="C39" s="180"/>
      <c r="F39" s="172"/>
      <c r="G39" s="172"/>
    </row>
    <row r="40" spans="1:7" x14ac:dyDescent="0.2">
      <c r="A40" s="174"/>
      <c r="C40" s="180"/>
      <c r="F40" s="172"/>
      <c r="G40" s="172"/>
    </row>
    <row r="41" spans="1:7" x14ac:dyDescent="0.2">
      <c r="A41" s="174"/>
      <c r="C41" s="180"/>
      <c r="F41" s="172"/>
      <c r="G41" s="172"/>
    </row>
    <row r="42" spans="1:7" x14ac:dyDescent="0.2">
      <c r="A42" s="174"/>
      <c r="C42" s="180"/>
      <c r="F42" s="172"/>
      <c r="G42" s="172"/>
    </row>
    <row r="43" spans="1:7" x14ac:dyDescent="0.2">
      <c r="A43" s="174"/>
      <c r="C43" s="180"/>
      <c r="F43" s="172"/>
      <c r="G43" s="172"/>
    </row>
    <row r="44" spans="1:7" x14ac:dyDescent="0.2">
      <c r="A44" s="174"/>
      <c r="C44" s="180">
        <f>G30+G33+G34+G37+G38</f>
        <v>707510733.31000006</v>
      </c>
      <c r="F44" s="172"/>
      <c r="G44" s="172"/>
    </row>
    <row r="45" spans="1:7" x14ac:dyDescent="0.2">
      <c r="A45" s="174"/>
      <c r="C45" s="180"/>
      <c r="F45" s="172"/>
      <c r="G45" s="172"/>
    </row>
    <row r="46" spans="1:7" x14ac:dyDescent="0.2">
      <c r="A46" s="174"/>
      <c r="C46" s="172"/>
      <c r="F46" s="172"/>
      <c r="G46" s="172"/>
    </row>
    <row r="47" spans="1:7" x14ac:dyDescent="0.2">
      <c r="A47" s="174"/>
      <c r="C47" s="172"/>
      <c r="F47" s="172"/>
      <c r="G47" s="172"/>
    </row>
    <row r="48" spans="1:7" x14ac:dyDescent="0.2">
      <c r="A48" s="171"/>
      <c r="C48" s="175">
        <f>C3+C44</f>
        <v>868924733.31000006</v>
      </c>
      <c r="G48" s="172"/>
    </row>
    <row r="49" spans="3:7" x14ac:dyDescent="0.2">
      <c r="C49" s="172"/>
      <c r="G49" s="172"/>
    </row>
    <row r="50" spans="3:7" x14ac:dyDescent="0.2">
      <c r="G50" s="17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25" t="s">
        <v>96</v>
      </c>
      <c r="B1" s="126"/>
      <c r="C1" s="126"/>
      <c r="D1" s="126"/>
      <c r="E1" s="127"/>
      <c r="F1" s="127"/>
      <c r="G1" s="127"/>
      <c r="H1" s="127"/>
    </row>
    <row r="2" spans="1:21" s="128" customFormat="1" ht="15.75" x14ac:dyDescent="0.25">
      <c r="A2" s="129"/>
      <c r="B2" s="126"/>
      <c r="C2" s="126"/>
      <c r="D2" s="126"/>
      <c r="E2" s="127"/>
      <c r="F2" s="127"/>
      <c r="G2" s="127"/>
      <c r="H2" s="127"/>
    </row>
    <row r="3" spans="1:21" s="128" customFormat="1" ht="14.25" customHeight="1" x14ac:dyDescent="0.25">
      <c r="A3" s="130" t="s">
        <v>44</v>
      </c>
      <c r="B3" s="126"/>
      <c r="C3" s="126"/>
      <c r="D3" s="126"/>
      <c r="E3" s="127"/>
      <c r="F3" s="127"/>
      <c r="G3" s="127"/>
      <c r="H3" s="6"/>
    </row>
    <row r="4" spans="1:21" s="128" customFormat="1" ht="14.25" customHeight="1" thickBot="1" x14ac:dyDescent="0.3">
      <c r="A4" s="130"/>
      <c r="B4" s="126"/>
      <c r="C4" s="126"/>
      <c r="D4" s="126"/>
      <c r="E4" s="127"/>
      <c r="F4" s="127"/>
      <c r="G4" s="127"/>
      <c r="H4" s="208" t="s">
        <v>87</v>
      </c>
    </row>
    <row r="5" spans="1:21" s="128" customFormat="1" ht="14.25" customHeight="1" thickTop="1" thickBot="1" x14ac:dyDescent="0.25">
      <c r="A5" s="205"/>
      <c r="B5" s="206"/>
      <c r="C5" s="206"/>
      <c r="D5" s="207"/>
      <c r="E5" s="4" t="s">
        <v>2</v>
      </c>
      <c r="F5" s="4" t="s">
        <v>3</v>
      </c>
      <c r="G5" s="4" t="s">
        <v>4</v>
      </c>
      <c r="H5" s="8" t="s">
        <v>5</v>
      </c>
    </row>
    <row r="6" spans="1:21" s="128" customFormat="1" ht="14.25" customHeight="1" thickTop="1" thickBot="1" x14ac:dyDescent="0.25">
      <c r="A6" s="363">
        <v>1</v>
      </c>
      <c r="B6" s="364"/>
      <c r="C6" s="364"/>
      <c r="D6" s="365"/>
      <c r="E6" s="194">
        <v>2</v>
      </c>
      <c r="F6" s="194">
        <v>3</v>
      </c>
      <c r="G6" s="194">
        <v>4</v>
      </c>
      <c r="H6" s="195" t="s">
        <v>6</v>
      </c>
    </row>
    <row r="7" spans="1:21" s="131" customFormat="1" ht="16.5" thickTop="1" x14ac:dyDescent="0.25">
      <c r="A7" s="152" t="s">
        <v>45</v>
      </c>
      <c r="B7" s="153"/>
      <c r="C7" s="153"/>
      <c r="D7" s="183"/>
      <c r="E7" s="187" t="e">
        <f>Příjmy!#REF!</f>
        <v>#REF!</v>
      </c>
      <c r="F7" s="187" t="e">
        <f>Příjmy!#REF!</f>
        <v>#REF!</v>
      </c>
      <c r="G7" s="187" t="e">
        <f>Příjmy!#REF!</f>
        <v>#REF!</v>
      </c>
      <c r="H7" s="154" t="e">
        <f>(G7/F7)*100</f>
        <v>#REF!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</row>
    <row r="8" spans="1:21" s="131" customFormat="1" ht="15" x14ac:dyDescent="0.2">
      <c r="A8" s="155" t="s">
        <v>98</v>
      </c>
      <c r="B8" s="156"/>
      <c r="C8" s="156"/>
      <c r="D8" s="184"/>
      <c r="E8" s="188"/>
      <c r="F8" s="188"/>
      <c r="G8" s="192"/>
      <c r="H8" s="157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1" s="131" customFormat="1" ht="15.75" x14ac:dyDescent="0.25">
      <c r="A9" s="158" t="s">
        <v>46</v>
      </c>
      <c r="B9" s="159"/>
      <c r="C9" s="159"/>
      <c r="D9" s="185"/>
      <c r="E9" s="189" t="e">
        <f>Výdaje!#REF!+Výdaje!#REF!</f>
        <v>#REF!</v>
      </c>
      <c r="F9" s="189" t="e">
        <f>Výdaje!#REF!+Výdaje!#REF!</f>
        <v>#REF!</v>
      </c>
      <c r="G9" s="189" t="e">
        <f>Výdaje!#REF!+Výdaje!#REF!</f>
        <v>#REF!</v>
      </c>
      <c r="H9" s="160" t="e">
        <f>(G9/F9)*100</f>
        <v>#REF!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s="131" customFormat="1" ht="15" x14ac:dyDescent="0.2">
      <c r="A10" s="269" t="s">
        <v>99</v>
      </c>
      <c r="B10" s="159"/>
      <c r="C10" s="159"/>
      <c r="D10" s="186"/>
      <c r="E10" s="190"/>
      <c r="F10" s="191"/>
      <c r="G10" s="193"/>
      <c r="H10" s="161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</row>
    <row r="11" spans="1:21" s="131" customFormat="1" ht="21.75" customHeight="1" thickBot="1" x14ac:dyDescent="0.3">
      <c r="A11" s="132" t="s">
        <v>47</v>
      </c>
      <c r="B11" s="133"/>
      <c r="C11" s="133"/>
      <c r="D11" s="133"/>
      <c r="E11" s="134"/>
      <c r="F11" s="135"/>
      <c r="G11" s="196" t="e">
        <f>G7-G9</f>
        <v>#REF!</v>
      </c>
      <c r="H11" s="136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ht="13.5" thickTop="1" x14ac:dyDescent="0.2"/>
    <row r="37" spans="1:8" ht="15" x14ac:dyDescent="0.25">
      <c r="A37" s="138" t="s">
        <v>50</v>
      </c>
      <c r="B37" s="128"/>
      <c r="C37" s="128"/>
      <c r="D37" s="128"/>
      <c r="E37" s="139"/>
      <c r="F37" s="127"/>
      <c r="G37" s="127"/>
      <c r="H37" s="6"/>
    </row>
    <row r="38" spans="1:8" ht="15.75" thickBot="1" x14ac:dyDescent="0.3">
      <c r="A38" s="138"/>
      <c r="B38" s="128"/>
      <c r="C38" s="128"/>
      <c r="D38" s="128"/>
      <c r="E38" s="139"/>
      <c r="F38" s="127"/>
      <c r="G38" s="127"/>
      <c r="H38" s="208" t="s">
        <v>87</v>
      </c>
    </row>
    <row r="39" spans="1:8" s="128" customFormat="1" ht="14.25" customHeight="1" thickTop="1" thickBot="1" x14ac:dyDescent="0.25">
      <c r="A39" s="205"/>
      <c r="B39" s="206"/>
      <c r="C39" s="206"/>
      <c r="D39" s="207"/>
      <c r="E39" s="4" t="s">
        <v>2</v>
      </c>
      <c r="F39" s="4" t="s">
        <v>3</v>
      </c>
      <c r="G39" s="4" t="s">
        <v>4</v>
      </c>
      <c r="H39" s="8" t="s">
        <v>5</v>
      </c>
    </row>
    <row r="40" spans="1:8" s="128" customFormat="1" ht="14.25" customHeight="1" thickTop="1" thickBot="1" x14ac:dyDescent="0.25">
      <c r="A40" s="363">
        <v>1</v>
      </c>
      <c r="B40" s="364"/>
      <c r="C40" s="364"/>
      <c r="D40" s="365"/>
      <c r="E40" s="194">
        <v>2</v>
      </c>
      <c r="F40" s="194">
        <v>3</v>
      </c>
      <c r="G40" s="194">
        <v>4</v>
      </c>
      <c r="H40" s="195" t="s">
        <v>6</v>
      </c>
    </row>
    <row r="41" spans="1:8" ht="20.25" thickTop="1" x14ac:dyDescent="0.4">
      <c r="A41" s="140" t="s">
        <v>51</v>
      </c>
      <c r="B41" s="141"/>
      <c r="C41" s="141"/>
      <c r="D41" s="142"/>
      <c r="E41" s="197" t="e">
        <f>Příjmy!#REF!</f>
        <v>#REF!</v>
      </c>
      <c r="F41" s="197" t="e">
        <f>Příjmy!#REF!</f>
        <v>#REF!</v>
      </c>
      <c r="G41" s="197" t="e">
        <f>Příjmy!#REF!</f>
        <v>#REF!</v>
      </c>
      <c r="H41" s="200" t="e">
        <f>(G41/F41)*100</f>
        <v>#REF!</v>
      </c>
    </row>
    <row r="42" spans="1:8" ht="19.5" x14ac:dyDescent="0.4">
      <c r="A42" s="143" t="s">
        <v>52</v>
      </c>
      <c r="B42" s="144"/>
      <c r="C42" s="144"/>
      <c r="D42" s="145"/>
      <c r="E42" s="198" t="e">
        <f>Výdaje!#REF!</f>
        <v>#REF!</v>
      </c>
      <c r="F42" s="198" t="e">
        <f>Výdaje!#REF!</f>
        <v>#REF!</v>
      </c>
      <c r="G42" s="198" t="e">
        <f>Výdaje!#REF!</f>
        <v>#REF!</v>
      </c>
      <c r="H42" s="199" t="e">
        <f>(G42/F42)*100</f>
        <v>#REF!</v>
      </c>
    </row>
    <row r="43" spans="1:8" ht="25.5" customHeight="1" thickBot="1" x14ac:dyDescent="0.45">
      <c r="A43" s="217" t="s">
        <v>53</v>
      </c>
      <c r="B43" s="132"/>
      <c r="C43" s="132"/>
      <c r="D43" s="132"/>
      <c r="E43" s="132"/>
      <c r="F43" s="215"/>
      <c r="G43" s="216" t="e">
        <f>G41-G42</f>
        <v>#REF!</v>
      </c>
      <c r="H43" s="13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2017-03-28T07:03:12Z</cp:lastPrinted>
  <dcterms:created xsi:type="dcterms:W3CDTF">2010-11-26T09:05:32Z</dcterms:created>
  <dcterms:modified xsi:type="dcterms:W3CDTF">2017-04-03T11:49:19Z</dcterms:modified>
</cp:coreProperties>
</file>