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2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úvěru'!$B$1:$AY$85</definedName>
  </definedNames>
  <calcPr calcId="162913"/>
</workbook>
</file>

<file path=xl/calcChain.xml><?xml version="1.0" encoding="utf-8"?>
<calcChain xmlns="http://schemas.openxmlformats.org/spreadsheetml/2006/main">
  <c r="AY83" i="6" l="1"/>
  <c r="AX84" i="6" l="1"/>
  <c r="H84" i="6"/>
  <c r="F84" i="6"/>
  <c r="I84" i="6" l="1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U84" i="6"/>
  <c r="AV84" i="6"/>
  <c r="AW84" i="6"/>
  <c r="G83" i="6"/>
  <c r="G82" i="6" l="1"/>
  <c r="G81" i="6"/>
  <c r="G77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G84" i="6" l="1"/>
  <c r="AX21" i="6"/>
  <c r="I32" i="6" l="1"/>
  <c r="I81" i="6" l="1"/>
  <c r="I72" i="6" l="1"/>
  <c r="I10" i="6" l="1"/>
  <c r="I66" i="6" l="1"/>
  <c r="I65" i="6"/>
  <c r="AY82" i="6"/>
  <c r="AX5" i="6" l="1"/>
  <c r="J29" i="6" l="1"/>
  <c r="AY81" i="6" l="1"/>
  <c r="AY76" i="6"/>
  <c r="AY77" i="6" l="1"/>
  <c r="J32" i="6"/>
  <c r="J20" i="6"/>
  <c r="J10" i="6" l="1"/>
  <c r="J75" i="6" l="1"/>
  <c r="J73" i="6"/>
  <c r="AY75" i="6" l="1"/>
  <c r="J72" i="6"/>
  <c r="J65" i="6"/>
  <c r="AX25" i="6" l="1"/>
  <c r="AX13" i="6"/>
  <c r="K69" i="6" l="1"/>
  <c r="K32" i="6" l="1"/>
  <c r="L72" i="6" l="1"/>
  <c r="AX15" i="6" l="1"/>
  <c r="AX33" i="6"/>
  <c r="L32" i="6" l="1"/>
  <c r="AX16" i="6" l="1"/>
  <c r="AX32" i="6"/>
  <c r="AX18" i="6"/>
  <c r="M61" i="6" l="1"/>
  <c r="AY74" i="6" l="1"/>
  <c r="AY73" i="6"/>
  <c r="AX45" i="6" l="1"/>
  <c r="AX36" i="6"/>
  <c r="AX34" i="6"/>
  <c r="AX38" i="6"/>
  <c r="AX52" i="6"/>
  <c r="AX64" i="6"/>
  <c r="AX53" i="6"/>
  <c r="N72" i="6" l="1"/>
  <c r="N20" i="6" l="1"/>
  <c r="N32" i="6"/>
  <c r="N10" i="6"/>
  <c r="AY72" i="6"/>
  <c r="AY71" i="6"/>
  <c r="AY70" i="6" l="1"/>
  <c r="O20" i="6" l="1"/>
  <c r="AX50" i="6" l="1"/>
  <c r="AX59" i="6"/>
  <c r="P10" i="6" l="1"/>
  <c r="P61" i="6" l="1"/>
  <c r="V33" i="6" l="1"/>
  <c r="V32" i="6"/>
  <c r="V8" i="6"/>
  <c r="AX9" i="6" l="1"/>
  <c r="AY69" i="6" l="1"/>
  <c r="AX58" i="6" l="1"/>
  <c r="S61" i="6" l="1"/>
  <c r="T10" i="6" l="1"/>
  <c r="U63" i="6" l="1"/>
  <c r="AX11" i="6" l="1"/>
  <c r="V61" i="6" l="1"/>
  <c r="V44" i="6"/>
  <c r="AD41" i="6" l="1"/>
  <c r="AD40" i="6"/>
  <c r="AX40" i="6" l="1"/>
  <c r="W52" i="6" l="1"/>
  <c r="W8" i="6" l="1"/>
  <c r="W63" i="6" l="1"/>
  <c r="W33" i="6"/>
  <c r="W15" i="6" l="1"/>
  <c r="W10" i="6" l="1"/>
  <c r="W5" i="6"/>
  <c r="W44" i="6"/>
  <c r="AX7" i="6" l="1"/>
  <c r="Y33" i="6" l="1"/>
  <c r="X44" i="6" l="1"/>
  <c r="X32" i="6" l="1"/>
  <c r="Y21" i="6" l="1"/>
  <c r="Y45" i="6" l="1"/>
  <c r="Y11" i="6" l="1"/>
  <c r="AY68" i="6" l="1"/>
  <c r="Y63" i="6" l="1"/>
  <c r="Y13" i="6"/>
  <c r="Y24" i="6" l="1"/>
  <c r="Y32" i="6"/>
  <c r="Y44" i="6" l="1"/>
  <c r="Y54" i="6"/>
  <c r="Y8" i="6" l="1"/>
  <c r="Y10" i="6"/>
  <c r="AY67" i="6"/>
  <c r="Y52" i="6"/>
  <c r="AE41" i="6" l="1"/>
  <c r="AE40" i="6"/>
  <c r="Z40" i="6" l="1"/>
  <c r="AK34" i="6" l="1"/>
  <c r="Z41" i="6" l="1"/>
  <c r="AY65" i="6" l="1"/>
  <c r="AY66" i="6"/>
  <c r="AX6" i="6" l="1"/>
  <c r="AX10" i="6"/>
  <c r="AA21" i="6" l="1"/>
  <c r="AA33" i="6" l="1"/>
  <c r="AA56" i="6" l="1"/>
  <c r="AA32" i="6" l="1"/>
  <c r="AA10" i="6" l="1"/>
  <c r="AA54" i="6"/>
  <c r="AY64" i="6"/>
  <c r="AA13" i="6"/>
  <c r="AA63" i="6" l="1"/>
  <c r="AY63" i="6" l="1"/>
  <c r="AA5" i="6" l="1"/>
  <c r="AA51" i="6"/>
  <c r="AB44" i="6" l="1"/>
  <c r="AB58" i="6" l="1"/>
  <c r="AB11" i="6" l="1"/>
  <c r="AB51" i="6" l="1"/>
  <c r="AB38" i="6"/>
  <c r="AB41" i="6" l="1"/>
  <c r="AB25" i="6" l="1"/>
  <c r="AB36" i="6"/>
  <c r="AB48" i="6" l="1"/>
  <c r="F55" i="6" l="1"/>
  <c r="AB52" i="6" l="1"/>
  <c r="AB21" i="6"/>
  <c r="AB54" i="6"/>
  <c r="AB10" i="6"/>
  <c r="AC37" i="6" l="1"/>
  <c r="AC62" i="6" l="1"/>
  <c r="AY62" i="6"/>
  <c r="AC50" i="6" l="1"/>
  <c r="AC58" i="6"/>
  <c r="AY61" i="6"/>
  <c r="AC32" i="6"/>
  <c r="AC13" i="6"/>
  <c r="AC8" i="6"/>
  <c r="AC5" i="6"/>
  <c r="AC47" i="6"/>
  <c r="AD43" i="6" l="1"/>
  <c r="AY60" i="6"/>
  <c r="AD22" i="6"/>
  <c r="AY59" i="6"/>
  <c r="AD58" i="6"/>
  <c r="AY58" i="6"/>
  <c r="AY57" i="6"/>
  <c r="AY56" i="6" l="1"/>
  <c r="AE38" i="6" l="1"/>
  <c r="AE13" i="6"/>
  <c r="AE9" i="6"/>
  <c r="AE10" i="6" l="1"/>
  <c r="AE32" i="6"/>
  <c r="AE52" i="6" l="1"/>
  <c r="AY40" i="6"/>
  <c r="AI40" i="6"/>
  <c r="AG40" i="6"/>
  <c r="AF33" i="6" l="1"/>
  <c r="AY55" i="6" l="1"/>
  <c r="AF38" i="6" l="1"/>
  <c r="AY54" i="6" l="1"/>
  <c r="AF16" i="6"/>
  <c r="AY53" i="6" l="1"/>
  <c r="AF52" i="6"/>
  <c r="AY52" i="6" l="1"/>
  <c r="AY51" i="6"/>
  <c r="AG14" i="6" l="1"/>
  <c r="AG10" i="6" l="1"/>
  <c r="AG5" i="6" l="1"/>
  <c r="AG9" i="6" l="1"/>
  <c r="AG50" i="6" l="1"/>
  <c r="AY50" i="6" s="1"/>
  <c r="AY48" i="6"/>
  <c r="AY49" i="6"/>
  <c r="AG8" i="6" l="1"/>
  <c r="AY47" i="6" l="1"/>
  <c r="AG25" i="6"/>
  <c r="AG16" i="6"/>
  <c r="AG44" i="6" l="1"/>
  <c r="AY46" i="6" l="1"/>
  <c r="AY45" i="6" l="1"/>
  <c r="AH10" i="6" l="1"/>
  <c r="AH9" i="6" l="1"/>
  <c r="AH44" i="6"/>
  <c r="AY44" i="6"/>
  <c r="AI16" i="6" l="1"/>
  <c r="AI11" i="6"/>
  <c r="AY43" i="6" l="1"/>
  <c r="AY42" i="6"/>
  <c r="AI33" i="6" l="1"/>
  <c r="AY39" i="6" l="1"/>
  <c r="AY38" i="6"/>
  <c r="AJ30" i="6" l="1"/>
  <c r="AY36" i="6" l="1"/>
  <c r="AY37" i="6"/>
  <c r="AJ11" i="6" l="1"/>
  <c r="AJ10" i="6"/>
  <c r="AJ5" i="6"/>
  <c r="AY35" i="6"/>
  <c r="AY34" i="6" l="1"/>
  <c r="AK31" i="6" l="1"/>
  <c r="AK33" i="6"/>
  <c r="AY33" i="6" s="1"/>
  <c r="AK5" i="6"/>
  <c r="AK25" i="6"/>
  <c r="AK9" i="6"/>
  <c r="AK10" i="6"/>
  <c r="AY26" i="6" l="1"/>
  <c r="AY27" i="6"/>
  <c r="AY28" i="6"/>
  <c r="AY29" i="6"/>
  <c r="AY30" i="6"/>
  <c r="AY31" i="6"/>
  <c r="AY32" i="6"/>
  <c r="AL10" i="6" l="1"/>
  <c r="AL9" i="6" l="1"/>
  <c r="AL5" i="6"/>
  <c r="AL24" i="6"/>
  <c r="AY25" i="6"/>
  <c r="AL23" i="6"/>
  <c r="AL8" i="6"/>
  <c r="AY20" i="6"/>
  <c r="AY21" i="6"/>
  <c r="AY22" i="6"/>
  <c r="AY23" i="6"/>
  <c r="AY24" i="6" l="1"/>
  <c r="AY19" i="6"/>
  <c r="AX4" i="6" l="1"/>
  <c r="AY4" i="6" l="1"/>
  <c r="AN11" i="6"/>
  <c r="AY15" i="6"/>
  <c r="AY16" i="6"/>
  <c r="AY18" i="6"/>
  <c r="AY17" i="6"/>
  <c r="AY13" i="6" l="1"/>
  <c r="AY14" i="6"/>
  <c r="AY12" i="6" l="1"/>
  <c r="AY9" i="6"/>
  <c r="AY7" i="6"/>
  <c r="AP11" i="6"/>
  <c r="AY11" i="6" l="1"/>
  <c r="AS6" i="6"/>
  <c r="AV6" i="6"/>
  <c r="AV8" i="6"/>
  <c r="AW6" i="6"/>
  <c r="AW5" i="6"/>
  <c r="AY6" i="6" l="1"/>
  <c r="AY8" i="6"/>
  <c r="AW10" i="6"/>
  <c r="AY10" i="6" l="1"/>
  <c r="AY5" i="6"/>
  <c r="AY84" i="6" s="1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Y85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W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V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<sst xmlns="http://schemas.openxmlformats.org/spreadsheetml/2006/main" count="249" uniqueCount="170">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</sst>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5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7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88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8" width="17.140625" customWidth="1"/>
    <col min="9" max="10" width="17.140625" hidden="1" customWidth="1"/>
    <col min="11" max="44" width="16.28515625" hidden="1" customWidth="1"/>
    <col min="45" max="45" width="17.140625" hidden="1" customWidth="1"/>
    <col min="46" max="46" width="17.85546875" hidden="1" customWidth="1"/>
    <col min="47" max="47" width="19.42578125" hidden="1" customWidth="1"/>
    <col min="48" max="48" width="17.42578125" hidden="1" customWidth="1"/>
    <col min="49" max="49" width="18.5703125" hidden="1" customWidth="1"/>
    <col min="50" max="50" width="17.42578125" customWidth="1"/>
    <col min="51" max="51" width="19.7109375" customWidth="1"/>
    <col min="53" max="53" width="18.85546875" customWidth="1"/>
  </cols>
  <sheetData>
    <row r="1" spans="2:53" ht="18.75" customHeight="1" thickBot="1" x14ac:dyDescent="0.35">
      <c r="B1" s="222" t="s">
        <v>38</v>
      </c>
      <c r="C1" s="222"/>
      <c r="D1" s="222"/>
      <c r="E1" s="222"/>
      <c r="F1" s="22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1" t="s">
        <v>30</v>
      </c>
    </row>
    <row r="2" spans="2:53" ht="15.75" customHeight="1" thickTop="1" x14ac:dyDescent="0.25">
      <c r="B2" s="228" t="s">
        <v>5</v>
      </c>
      <c r="C2" s="212" t="s">
        <v>0</v>
      </c>
      <c r="D2" s="232" t="s">
        <v>112</v>
      </c>
      <c r="E2" s="212" t="s">
        <v>1</v>
      </c>
      <c r="F2" s="230" t="s">
        <v>36</v>
      </c>
      <c r="G2" s="210" t="s">
        <v>28</v>
      </c>
      <c r="H2" s="210" t="s">
        <v>169</v>
      </c>
      <c r="I2" s="210" t="s">
        <v>167</v>
      </c>
      <c r="J2" s="210" t="s">
        <v>164</v>
      </c>
      <c r="K2" s="210" t="s">
        <v>163</v>
      </c>
      <c r="L2" s="210" t="s">
        <v>160</v>
      </c>
      <c r="M2" s="210" t="s">
        <v>159</v>
      </c>
      <c r="N2" s="210" t="s">
        <v>155</v>
      </c>
      <c r="O2" s="210" t="s">
        <v>153</v>
      </c>
      <c r="P2" s="210" t="s">
        <v>151</v>
      </c>
      <c r="Q2" s="210" t="s">
        <v>150</v>
      </c>
      <c r="R2" s="210" t="s">
        <v>148</v>
      </c>
      <c r="S2" s="210" t="s">
        <v>147</v>
      </c>
      <c r="T2" s="210" t="s">
        <v>146</v>
      </c>
      <c r="U2" s="210" t="s">
        <v>145</v>
      </c>
      <c r="V2" s="210" t="s">
        <v>144</v>
      </c>
      <c r="W2" s="210" t="s">
        <v>143</v>
      </c>
      <c r="X2" s="210" t="s">
        <v>142</v>
      </c>
      <c r="Y2" s="210" t="s">
        <v>141</v>
      </c>
      <c r="Z2" s="210" t="s">
        <v>136</v>
      </c>
      <c r="AA2" s="210" t="s">
        <v>133</v>
      </c>
      <c r="AB2" s="210" t="s">
        <v>140</v>
      </c>
      <c r="AC2" s="210" t="s">
        <v>130</v>
      </c>
      <c r="AD2" s="210" t="s">
        <v>109</v>
      </c>
      <c r="AE2" s="210" t="s">
        <v>103</v>
      </c>
      <c r="AF2" s="210" t="s">
        <v>102</v>
      </c>
      <c r="AG2" s="210" t="s">
        <v>98</v>
      </c>
      <c r="AH2" s="210" t="s">
        <v>90</v>
      </c>
      <c r="AI2" s="210" t="s">
        <v>85</v>
      </c>
      <c r="AJ2" s="210" t="s">
        <v>79</v>
      </c>
      <c r="AK2" s="210" t="s">
        <v>78</v>
      </c>
      <c r="AL2" s="210" t="s">
        <v>71</v>
      </c>
      <c r="AM2" s="210" t="s">
        <v>58</v>
      </c>
      <c r="AN2" s="210" t="s">
        <v>56</v>
      </c>
      <c r="AO2" s="210" t="s">
        <v>55</v>
      </c>
      <c r="AP2" s="210" t="s">
        <v>47</v>
      </c>
      <c r="AQ2" s="210" t="s">
        <v>41</v>
      </c>
      <c r="AR2" s="210" t="s">
        <v>57</v>
      </c>
      <c r="AS2" s="210" t="s">
        <v>42</v>
      </c>
      <c r="AT2" s="210" t="s">
        <v>43</v>
      </c>
      <c r="AU2" s="210" t="s">
        <v>44</v>
      </c>
      <c r="AV2" s="210" t="s">
        <v>45</v>
      </c>
      <c r="AW2" s="210" t="s">
        <v>46</v>
      </c>
      <c r="AX2" s="210" t="s">
        <v>50</v>
      </c>
      <c r="AY2" s="218" t="s">
        <v>27</v>
      </c>
    </row>
    <row r="3" spans="2:53" ht="45.75" customHeight="1" thickBot="1" x14ac:dyDescent="0.3">
      <c r="B3" s="229"/>
      <c r="C3" s="213"/>
      <c r="D3" s="233"/>
      <c r="E3" s="213"/>
      <c r="F3" s="23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9"/>
    </row>
    <row r="4" spans="2:53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SUM(H4:AW4)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>
        <v>50732493</v>
      </c>
      <c r="AV4" s="58"/>
      <c r="AW4" s="58">
        <v>33823000</v>
      </c>
      <c r="AX4" s="58">
        <f>35722939.54+48832553.46</f>
        <v>84555493</v>
      </c>
      <c r="AY4" s="59">
        <f>G4-AX4</f>
        <v>0</v>
      </c>
    </row>
    <row r="5" spans="2:53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SUM(H5:AW5)</f>
        <v>42753474</v>
      </c>
      <c r="H5" s="63"/>
      <c r="I5" s="63"/>
      <c r="J5" s="63"/>
      <c r="K5" s="63"/>
      <c r="L5" s="63"/>
      <c r="M5" s="63">
        <v>972839.7</v>
      </c>
      <c r="N5" s="63"/>
      <c r="O5" s="63"/>
      <c r="P5" s="63">
        <v>567489.6</v>
      </c>
      <c r="Q5" s="63">
        <v>1702469.7</v>
      </c>
      <c r="R5" s="63">
        <v>7770828.5999999996</v>
      </c>
      <c r="S5" s="63">
        <v>6447632.4000000004</v>
      </c>
      <c r="T5" s="63"/>
      <c r="U5" s="63"/>
      <c r="V5" s="63">
        <v>2502369.9</v>
      </c>
      <c r="W5" s="63">
        <f>4737.6+1289053.8</f>
        <v>1293791.4000000001</v>
      </c>
      <c r="X5" s="63"/>
      <c r="Y5" s="63">
        <v>2913213.6</v>
      </c>
      <c r="Z5" s="63">
        <v>4737.6000000000004</v>
      </c>
      <c r="AA5" s="63">
        <f>1379180.7</f>
        <v>1379180.7</v>
      </c>
      <c r="AB5" s="63">
        <v>4737.6000000000004</v>
      </c>
      <c r="AC5" s="63">
        <f>452513.7+1498386.6+4737.6-1800</f>
        <v>1953837.9000000001</v>
      </c>
      <c r="AD5" s="63"/>
      <c r="AE5" s="63">
        <v>572472</v>
      </c>
      <c r="AF5" s="63">
        <v>4737.6000000000004</v>
      </c>
      <c r="AG5" s="63">
        <f>4737.6+1599051.6+928194.3</f>
        <v>2531983.5</v>
      </c>
      <c r="AH5" s="63"/>
      <c r="AI5" s="63">
        <v>2691313.2</v>
      </c>
      <c r="AJ5" s="63">
        <f>548022.6+827964.9</f>
        <v>1375987.5</v>
      </c>
      <c r="AK5" s="63">
        <f>112455+4737.6</f>
        <v>117192.6</v>
      </c>
      <c r="AL5" s="63">
        <f>4737.6+548435.7</f>
        <v>553173.29999999993</v>
      </c>
      <c r="AM5" s="63">
        <v>3202485.6</v>
      </c>
      <c r="AN5" s="63"/>
      <c r="AO5" s="63"/>
      <c r="AP5" s="63"/>
      <c r="AQ5" s="63"/>
      <c r="AR5" s="63"/>
      <c r="AS5" s="63"/>
      <c r="AT5" s="63"/>
      <c r="AU5" s="63"/>
      <c r="AV5" s="63"/>
      <c r="AW5" s="63">
        <f>15037000-7315000-431000-3100000</f>
        <v>4191000</v>
      </c>
      <c r="AX5" s="63">
        <f>4552634.85+5719945.5+16014832.07+5737316.27</f>
        <v>32024728.690000001</v>
      </c>
      <c r="AY5" s="64">
        <f>G5-AX5</f>
        <v>10728745.309999999</v>
      </c>
      <c r="BA5" s="89"/>
    </row>
    <row r="6" spans="2:53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SUM(H6:AW6)</f>
        <v>96630272.139999986</v>
      </c>
      <c r="H6" s="63"/>
      <c r="I6" s="63"/>
      <c r="J6" s="63"/>
      <c r="K6" s="63"/>
      <c r="L6" s="1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>
        <v>11479091.68</v>
      </c>
      <c r="AJ6" s="63">
        <v>3572543.77</v>
      </c>
      <c r="AK6" s="63"/>
      <c r="AL6" s="63"/>
      <c r="AM6" s="63">
        <v>483066.76</v>
      </c>
      <c r="AN6" s="63"/>
      <c r="AO6" s="63"/>
      <c r="AP6" s="63">
        <v>13541731.43</v>
      </c>
      <c r="AQ6" s="63"/>
      <c r="AR6" s="63">
        <v>12413444.029999999</v>
      </c>
      <c r="AS6" s="63">
        <f>27436365.11-6090000-3100000</f>
        <v>18246365.109999999</v>
      </c>
      <c r="AT6" s="63">
        <v>15658817.550000001</v>
      </c>
      <c r="AU6" s="63">
        <v>8315262.8799999999</v>
      </c>
      <c r="AV6" s="63">
        <f>3729948.93+6090000</f>
        <v>9819948.9299999997</v>
      </c>
      <c r="AW6" s="63">
        <f>3100000</f>
        <v>3100000</v>
      </c>
      <c r="AX6" s="63">
        <f>81578636.71+15051635.43</f>
        <v>96630272.139999986</v>
      </c>
      <c r="AY6" s="64">
        <f>G6-AX6</f>
        <v>0</v>
      </c>
    </row>
    <row r="7" spans="2:53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1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>
        <v>4049994.74</v>
      </c>
      <c r="AJ7" s="63">
        <v>4356</v>
      </c>
      <c r="AK7" s="63"/>
      <c r="AL7" s="63"/>
      <c r="AM7" s="63"/>
      <c r="AN7" s="63"/>
      <c r="AO7" s="63"/>
      <c r="AP7" s="63"/>
      <c r="AQ7" s="63">
        <v>3237175.44</v>
      </c>
      <c r="AR7" s="63">
        <v>6991149.0999999996</v>
      </c>
      <c r="AS7" s="63">
        <v>4356</v>
      </c>
      <c r="AT7" s="63">
        <v>3816000.31</v>
      </c>
      <c r="AU7" s="63">
        <v>806397.55</v>
      </c>
      <c r="AV7" s="63">
        <v>217541.61</v>
      </c>
      <c r="AW7" s="63"/>
      <c r="AX7" s="63">
        <f>19030302.01+96668.74</f>
        <v>19126970.75</v>
      </c>
      <c r="AY7" s="64">
        <f t="shared" ref="AY7:AY14" si="1">G7-AX7</f>
        <v>0</v>
      </c>
    </row>
    <row r="8" spans="2:53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26915063.689999998</v>
      </c>
      <c r="H8" s="63"/>
      <c r="I8" s="63">
        <v>2926141.16</v>
      </c>
      <c r="J8" s="63">
        <v>1750830.79</v>
      </c>
      <c r="K8" s="63"/>
      <c r="L8" s="63">
        <v>1411373.56</v>
      </c>
      <c r="M8" s="63"/>
      <c r="N8" s="63">
        <v>3258862.03</v>
      </c>
      <c r="O8" s="63"/>
      <c r="P8" s="63">
        <v>289937.09000000003</v>
      </c>
      <c r="Q8" s="63"/>
      <c r="R8" s="63">
        <v>76251.210000000006</v>
      </c>
      <c r="S8" s="63"/>
      <c r="T8" s="63"/>
      <c r="U8" s="63"/>
      <c r="V8" s="63">
        <f>507947.98+1656+2484</f>
        <v>512087.98</v>
      </c>
      <c r="W8" s="63">
        <f>2070+1063610.67</f>
        <v>1065680.67</v>
      </c>
      <c r="X8" s="63"/>
      <c r="Y8" s="63">
        <f>1656+966679.23</f>
        <v>968335.23</v>
      </c>
      <c r="Z8" s="63"/>
      <c r="AA8" s="63">
        <v>1107780.25</v>
      </c>
      <c r="AB8" s="63"/>
      <c r="AC8" s="63">
        <f>2015046.92+3726</f>
        <v>2018772.92</v>
      </c>
      <c r="AD8" s="63"/>
      <c r="AE8" s="63"/>
      <c r="AF8" s="63">
        <v>2194943.2000000002</v>
      </c>
      <c r="AG8" s="63">
        <f>2898+2584201.21</f>
        <v>2587099.21</v>
      </c>
      <c r="AH8" s="63"/>
      <c r="AI8" s="63">
        <v>1717251.88</v>
      </c>
      <c r="AJ8" s="63">
        <v>6012</v>
      </c>
      <c r="AK8" s="63">
        <v>1911435.95</v>
      </c>
      <c r="AL8" s="63">
        <f>1822719.58+107218.8-53669.82</f>
        <v>1876268.56</v>
      </c>
      <c r="AM8" s="63"/>
      <c r="AN8" s="63"/>
      <c r="AO8" s="63"/>
      <c r="AP8" s="63"/>
      <c r="AQ8" s="63"/>
      <c r="AR8" s="63"/>
      <c r="AS8" s="63"/>
      <c r="AT8" s="63"/>
      <c r="AU8" s="63"/>
      <c r="AV8" s="63">
        <f>7326000-6090000</f>
        <v>1236000</v>
      </c>
      <c r="AW8" s="63"/>
      <c r="AX8" s="63">
        <v>11457582.300000001</v>
      </c>
      <c r="AY8" s="64">
        <f t="shared" si="1"/>
        <v>15457481.389999997</v>
      </c>
    </row>
    <row r="9" spans="2:53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>
        <v>1470150</v>
      </c>
      <c r="N9" s="63"/>
      <c r="O9" s="63">
        <v>1470150</v>
      </c>
      <c r="P9" s="63"/>
      <c r="Q9" s="63"/>
      <c r="R9" s="63"/>
      <c r="S9" s="63">
        <v>877571.1</v>
      </c>
      <c r="T9" s="63"/>
      <c r="U9" s="63"/>
      <c r="V9" s="63">
        <v>87120</v>
      </c>
      <c r="W9" s="63"/>
      <c r="X9" s="63"/>
      <c r="Y9" s="63">
        <v>2920189.5</v>
      </c>
      <c r="Z9" s="63"/>
      <c r="AA9" s="63"/>
      <c r="AB9" s="63">
        <v>19602</v>
      </c>
      <c r="AC9" s="63">
        <v>3430.35</v>
      </c>
      <c r="AD9" s="63"/>
      <c r="AE9" s="63">
        <f>64251+3920.4+8253856.25+455873.15</f>
        <v>8777900.8000000007</v>
      </c>
      <c r="AF9" s="63">
        <v>37570.5</v>
      </c>
      <c r="AG9" s="63">
        <f>19057.5+21562.2+277140.63+17480024.21</f>
        <v>17797784.539999999</v>
      </c>
      <c r="AH9" s="63">
        <f>19057.5+2327600.29+14532950.21</f>
        <v>16879608</v>
      </c>
      <c r="AI9" s="63">
        <v>7350.75</v>
      </c>
      <c r="AJ9" s="63">
        <v>8820.9</v>
      </c>
      <c r="AK9" s="63">
        <f>19057.5+11037194.45</f>
        <v>11056251.949999999</v>
      </c>
      <c r="AL9" s="63">
        <f>4465625.29-155311.38</f>
        <v>4310313.91</v>
      </c>
      <c r="AM9" s="63"/>
      <c r="AN9" s="63"/>
      <c r="AO9" s="63">
        <v>4410.46</v>
      </c>
      <c r="AP9" s="63"/>
      <c r="AQ9" s="63"/>
      <c r="AR9" s="63">
        <v>11162291.48</v>
      </c>
      <c r="AS9" s="63"/>
      <c r="AT9" s="63"/>
      <c r="AU9" s="63"/>
      <c r="AV9" s="63">
        <v>26120100</v>
      </c>
      <c r="AW9" s="63"/>
      <c r="AX9" s="63">
        <f>37054247.85+58394383.68+52304.59+3399094.99</f>
        <v>98900031.109999999</v>
      </c>
      <c r="AY9" s="64">
        <f t="shared" si="1"/>
        <v>4110585.1299999952</v>
      </c>
    </row>
    <row r="10" spans="2:53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>
        <f>38115+1425110.05+78408+4936395.21</f>
        <v>6478028.2599999998</v>
      </c>
      <c r="J10" s="63">
        <f>2018340.08+38115</f>
        <v>2056455.08</v>
      </c>
      <c r="K10" s="63">
        <v>43560</v>
      </c>
      <c r="L10" s="63">
        <v>1286696.8400000001</v>
      </c>
      <c r="M10" s="63"/>
      <c r="N10" s="63">
        <f>4408110.89+43560</f>
        <v>4451670.8899999997</v>
      </c>
      <c r="O10" s="63"/>
      <c r="P10" s="63">
        <f>54450+1133744.72</f>
        <v>1188194.72</v>
      </c>
      <c r="Q10" s="63"/>
      <c r="R10" s="63">
        <v>43560</v>
      </c>
      <c r="S10" s="63"/>
      <c r="T10" s="63">
        <f>8561899.75+30492</f>
        <v>8592391.75</v>
      </c>
      <c r="U10" s="63"/>
      <c r="V10" s="63"/>
      <c r="W10" s="63">
        <f>54450+9583.2</f>
        <v>64033.2</v>
      </c>
      <c r="X10" s="63"/>
      <c r="Y10" s="63">
        <f>9583.2+76948.74</f>
        <v>86531.94</v>
      </c>
      <c r="Z10" s="63"/>
      <c r="AA10" s="63">
        <f>9583.2+90495.9+578002.21+3650994.62</f>
        <v>4329075.93</v>
      </c>
      <c r="AB10" s="63">
        <f>9583.2+98010+9249431.23</f>
        <v>9357024.4299999997</v>
      </c>
      <c r="AC10" s="63"/>
      <c r="AD10" s="63"/>
      <c r="AE10" s="63">
        <f>98010+9583.2</f>
        <v>107593.2</v>
      </c>
      <c r="AF10" s="63">
        <v>15743425.52</v>
      </c>
      <c r="AG10" s="63">
        <f>30511556.7+9583.2+98010</f>
        <v>30619149.899999999</v>
      </c>
      <c r="AH10" s="63">
        <f>98010+9583.2</f>
        <v>107593.2</v>
      </c>
      <c r="AI10" s="63">
        <v>24281840.899999999</v>
      </c>
      <c r="AJ10" s="63">
        <f>9583.2+114345</f>
        <v>123928.2</v>
      </c>
      <c r="AK10" s="63">
        <f>38136570.76</f>
        <v>38136570.759999998</v>
      </c>
      <c r="AL10" s="63">
        <f>30293637.38+1781978.67+9583.2-3743808.46</f>
        <v>28341390.789999995</v>
      </c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>
        <f>7315000+431000</f>
        <v>7746000</v>
      </c>
      <c r="AX10" s="63">
        <f>74347889.73+70745257.71</f>
        <v>145093147.44</v>
      </c>
      <c r="AY10" s="64">
        <f t="shared" si="1"/>
        <v>38091568.069999993</v>
      </c>
    </row>
    <row r="11" spans="2:53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1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>
        <f>1329721.2-315947</f>
        <v>1013774.2</v>
      </c>
      <c r="Z11" s="63"/>
      <c r="AA11" s="63">
        <v>1473884.4</v>
      </c>
      <c r="AB11" s="63">
        <f>1734724+7744</f>
        <v>1742468</v>
      </c>
      <c r="AC11" s="63">
        <v>7744</v>
      </c>
      <c r="AD11" s="63"/>
      <c r="AE11" s="63">
        <v>2289465.2000000002</v>
      </c>
      <c r="AF11" s="63">
        <v>7744</v>
      </c>
      <c r="AG11" s="63">
        <v>7744</v>
      </c>
      <c r="AH11" s="63"/>
      <c r="AI11" s="63">
        <f>7744+2944941.6</f>
        <v>2952685.6</v>
      </c>
      <c r="AJ11" s="63">
        <f>1001767.6</f>
        <v>1001767.6</v>
      </c>
      <c r="AK11" s="63">
        <v>7744</v>
      </c>
      <c r="AL11" s="63"/>
      <c r="AM11" s="63">
        <v>7744</v>
      </c>
      <c r="AN11" s="63">
        <f>827852.4+7744</f>
        <v>835596.4</v>
      </c>
      <c r="AO11" s="63"/>
      <c r="AP11" s="63">
        <f>7744+2359128</f>
        <v>2366872</v>
      </c>
      <c r="AQ11" s="63">
        <v>7744</v>
      </c>
      <c r="AR11" s="63"/>
      <c r="AS11" s="63"/>
      <c r="AT11" s="63"/>
      <c r="AU11" s="63"/>
      <c r="AV11" s="63"/>
      <c r="AW11" s="63"/>
      <c r="AX11" s="63">
        <f>7478737.2+6244240.2</f>
        <v>13722977.4</v>
      </c>
      <c r="AY11" s="64">
        <f t="shared" si="1"/>
        <v>0</v>
      </c>
    </row>
    <row r="12" spans="2:53" ht="78.75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193"/>
      <c r="I12" s="191"/>
      <c r="J12" s="174"/>
      <c r="K12" s="169"/>
      <c r="L12" s="164"/>
      <c r="M12" s="161"/>
      <c r="N12" s="153"/>
      <c r="O12" s="140"/>
      <c r="P12" s="139"/>
      <c r="Q12" s="133"/>
      <c r="R12" s="131"/>
      <c r="S12" s="130"/>
      <c r="T12" s="129"/>
      <c r="U12" s="128"/>
      <c r="V12" s="126"/>
      <c r="W12" s="125"/>
      <c r="X12" s="122"/>
      <c r="Y12" s="121"/>
      <c r="Z12" s="111"/>
      <c r="AA12" s="110"/>
      <c r="AB12" s="102"/>
      <c r="AC12" s="92"/>
      <c r="AD12" s="90"/>
      <c r="AE12" s="68"/>
      <c r="AF12" s="68"/>
      <c r="AG12" s="68"/>
      <c r="AH12" s="68"/>
      <c r="AI12" s="68"/>
      <c r="AJ12" s="68"/>
      <c r="AK12" s="68">
        <v>457598.7</v>
      </c>
      <c r="AL12" s="68"/>
      <c r="AM12" s="68"/>
      <c r="AN12" s="68"/>
      <c r="AO12" s="68"/>
      <c r="AP12" s="68">
        <v>506100.6</v>
      </c>
      <c r="AQ12" s="68"/>
      <c r="AR12" s="68"/>
      <c r="AS12" s="68"/>
      <c r="AT12" s="68"/>
      <c r="AU12" s="68"/>
      <c r="AV12" s="68"/>
      <c r="AW12" s="68"/>
      <c r="AX12" s="68">
        <v>963699.3</v>
      </c>
      <c r="AY12" s="69">
        <f t="shared" si="1"/>
        <v>0</v>
      </c>
    </row>
    <row r="13" spans="2:53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93"/>
      <c r="I13" s="191"/>
      <c r="J13" s="174"/>
      <c r="K13" s="169"/>
      <c r="L13" s="164"/>
      <c r="M13" s="161"/>
      <c r="N13" s="153"/>
      <c r="O13" s="140"/>
      <c r="P13" s="139"/>
      <c r="Q13" s="133"/>
      <c r="R13" s="131"/>
      <c r="S13" s="130"/>
      <c r="T13" s="129"/>
      <c r="U13" s="128"/>
      <c r="V13" s="126"/>
      <c r="W13" s="125"/>
      <c r="X13" s="123"/>
      <c r="Y13" s="121">
        <f>28800+1311015.47</f>
        <v>1339815.47</v>
      </c>
      <c r="Z13" s="111"/>
      <c r="AA13" s="110">
        <f>203530.93+19781.95</f>
        <v>223312.88</v>
      </c>
      <c r="AB13" s="102">
        <v>377099.51</v>
      </c>
      <c r="AC13" s="92">
        <f>18770+960081.76</f>
        <v>978851.76</v>
      </c>
      <c r="AD13" s="90"/>
      <c r="AE13" s="68">
        <f>1818431.56+28800</f>
        <v>1847231.56</v>
      </c>
      <c r="AF13" s="68"/>
      <c r="AG13" s="68">
        <v>1534698.28</v>
      </c>
      <c r="AH13" s="68">
        <v>226408.02</v>
      </c>
      <c r="AI13" s="68"/>
      <c r="AJ13" s="68"/>
      <c r="AK13" s="68"/>
      <c r="AL13" s="68"/>
      <c r="AM13" s="68"/>
      <c r="AN13" s="68"/>
      <c r="AO13" s="63">
        <v>11762.53</v>
      </c>
      <c r="AP13" s="63"/>
      <c r="AQ13" s="63"/>
      <c r="AR13" s="63"/>
      <c r="AS13" s="63"/>
      <c r="AT13" s="63"/>
      <c r="AU13" s="63"/>
      <c r="AV13" s="63"/>
      <c r="AW13" s="63"/>
      <c r="AX13" s="63">
        <f>1638374.03+4894893.26</f>
        <v>6533267.29</v>
      </c>
      <c r="AY13" s="69">
        <f t="shared" si="1"/>
        <v>5912.7199999997392</v>
      </c>
    </row>
    <row r="14" spans="2:53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193"/>
      <c r="I14" s="191"/>
      <c r="J14" s="174"/>
      <c r="K14" s="169"/>
      <c r="L14" s="164"/>
      <c r="M14" s="161"/>
      <c r="N14" s="153"/>
      <c r="O14" s="140"/>
      <c r="P14" s="139"/>
      <c r="Q14" s="133"/>
      <c r="R14" s="131"/>
      <c r="S14" s="130"/>
      <c r="T14" s="129"/>
      <c r="U14" s="128"/>
      <c r="V14" s="126"/>
      <c r="W14" s="125"/>
      <c r="X14" s="123"/>
      <c r="Y14" s="121"/>
      <c r="Z14" s="111"/>
      <c r="AA14" s="110"/>
      <c r="AB14" s="102"/>
      <c r="AC14" s="92"/>
      <c r="AD14" s="90"/>
      <c r="AE14" s="68"/>
      <c r="AF14" s="68"/>
      <c r="AG14" s="68">
        <f>1036620.14-382246.14</f>
        <v>654374</v>
      </c>
      <c r="AH14" s="68"/>
      <c r="AI14" s="68"/>
      <c r="AJ14" s="68"/>
      <c r="AK14" s="68"/>
      <c r="AL14" s="68"/>
      <c r="AM14" s="68"/>
      <c r="AN14" s="68"/>
      <c r="AO14" s="68">
        <v>1204</v>
      </c>
      <c r="AP14" s="68"/>
      <c r="AQ14" s="68"/>
      <c r="AR14" s="68"/>
      <c r="AS14" s="68"/>
      <c r="AT14" s="68"/>
      <c r="AU14" s="68"/>
      <c r="AV14" s="68"/>
      <c r="AW14" s="68"/>
      <c r="AX14" s="68">
        <v>603311.31999999995</v>
      </c>
      <c r="AY14" s="69">
        <f t="shared" si="1"/>
        <v>52266.680000000051</v>
      </c>
    </row>
    <row r="15" spans="2:53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193"/>
      <c r="I15" s="191"/>
      <c r="J15" s="174"/>
      <c r="K15" s="169"/>
      <c r="L15" s="164"/>
      <c r="M15" s="161"/>
      <c r="N15" s="153"/>
      <c r="O15" s="140"/>
      <c r="P15" s="139">
        <v>2042946.74</v>
      </c>
      <c r="Q15" s="133">
        <v>12100</v>
      </c>
      <c r="R15" s="131">
        <v>1602054.33</v>
      </c>
      <c r="S15" s="130">
        <v>6050</v>
      </c>
      <c r="T15" s="129"/>
      <c r="U15" s="128"/>
      <c r="V15" s="126">
        <v>9680</v>
      </c>
      <c r="W15" s="125">
        <f>1635139.21+15730</f>
        <v>1650869.21</v>
      </c>
      <c r="X15" s="123"/>
      <c r="Y15" s="121"/>
      <c r="Z15" s="111"/>
      <c r="AA15" s="110"/>
      <c r="AB15" s="102"/>
      <c r="AC15" s="92"/>
      <c r="AD15" s="90">
        <v>21780</v>
      </c>
      <c r="AE15" s="68"/>
      <c r="AF15" s="68"/>
      <c r="AG15" s="68"/>
      <c r="AH15" s="68"/>
      <c r="AI15" s="68"/>
      <c r="AJ15" s="68"/>
      <c r="AK15" s="68"/>
      <c r="AL15" s="68"/>
      <c r="AM15" s="68"/>
      <c r="AN15" s="68">
        <v>14520</v>
      </c>
      <c r="AO15" s="68"/>
      <c r="AP15" s="68"/>
      <c r="AQ15" s="68"/>
      <c r="AR15" s="68"/>
      <c r="AS15" s="68"/>
      <c r="AT15" s="68"/>
      <c r="AU15" s="68"/>
      <c r="AV15" s="68"/>
      <c r="AW15" s="68"/>
      <c r="AX15" s="68">
        <f>1185724.28+1821781.7</f>
        <v>3007505.98</v>
      </c>
      <c r="AY15" s="69">
        <f>G15-AX15</f>
        <v>2352494.3000000003</v>
      </c>
      <c r="BA15" s="89"/>
    </row>
    <row r="16" spans="2:53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1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>
        <v>1281249.6499999999</v>
      </c>
      <c r="AD16" s="63"/>
      <c r="AE16" s="63"/>
      <c r="AF16" s="63">
        <f>3840+1728282.44</f>
        <v>1732122.44</v>
      </c>
      <c r="AG16" s="63">
        <f>3840+1685476.96+168136.57</f>
        <v>1857453.53</v>
      </c>
      <c r="AH16" s="63"/>
      <c r="AI16" s="63">
        <f>5760+800650.35</f>
        <v>806410.35</v>
      </c>
      <c r="AJ16" s="63">
        <v>17424</v>
      </c>
      <c r="AK16" s="63"/>
      <c r="AL16" s="63"/>
      <c r="AM16" s="63"/>
      <c r="AN16" s="63">
        <v>11616</v>
      </c>
      <c r="AO16" s="63"/>
      <c r="AP16" s="63"/>
      <c r="AQ16" s="63"/>
      <c r="AR16" s="63"/>
      <c r="AS16" s="63"/>
      <c r="AT16" s="63"/>
      <c r="AU16" s="63"/>
      <c r="AV16" s="63"/>
      <c r="AW16" s="63"/>
      <c r="AX16" s="63">
        <f>2232246.52+2475571.08+967772.3</f>
        <v>5675589.8999999994</v>
      </c>
      <c r="AY16" s="69">
        <f t="shared" ref="AY16:AY18" si="2">G16-AX16</f>
        <v>30686.070000000298</v>
      </c>
    </row>
    <row r="17" spans="2:51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1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>
        <v>225034.82</v>
      </c>
      <c r="AB17" s="63">
        <v>426146.03</v>
      </c>
      <c r="AC17" s="63"/>
      <c r="AD17" s="63"/>
      <c r="AE17" s="63"/>
      <c r="AF17" s="63"/>
      <c r="AG17" s="63">
        <v>4625.6000000000004</v>
      </c>
      <c r="AH17" s="63"/>
      <c r="AI17" s="63"/>
      <c r="AJ17" s="63"/>
      <c r="AK17" s="63"/>
      <c r="AL17" s="63"/>
      <c r="AM17" s="63"/>
      <c r="AN17" s="63">
        <v>3084.2</v>
      </c>
      <c r="AO17" s="63"/>
      <c r="AP17" s="63"/>
      <c r="AQ17" s="63"/>
      <c r="AR17" s="63"/>
      <c r="AS17" s="63"/>
      <c r="AT17" s="63"/>
      <c r="AU17" s="63"/>
      <c r="AV17" s="63"/>
      <c r="AW17" s="63"/>
      <c r="AX17" s="63">
        <v>506844.8</v>
      </c>
      <c r="AY17" s="69">
        <f t="shared" si="2"/>
        <v>152045.85000000003</v>
      </c>
    </row>
    <row r="18" spans="2:51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1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>
        <v>361383.69</v>
      </c>
      <c r="AB18" s="63">
        <v>1021703.67</v>
      </c>
      <c r="AC18" s="63"/>
      <c r="AD18" s="63"/>
      <c r="AE18" s="63">
        <v>471491.5</v>
      </c>
      <c r="AF18" s="63"/>
      <c r="AG18" s="63">
        <v>14780.8</v>
      </c>
      <c r="AH18" s="63"/>
      <c r="AI18" s="63"/>
      <c r="AJ18" s="63"/>
      <c r="AK18" s="63"/>
      <c r="AL18" s="63"/>
      <c r="AM18" s="63"/>
      <c r="AN18" s="63">
        <v>9853.6</v>
      </c>
      <c r="AO18" s="63"/>
      <c r="AP18" s="63"/>
      <c r="AQ18" s="63"/>
      <c r="AR18" s="63"/>
      <c r="AS18" s="63"/>
      <c r="AT18" s="63"/>
      <c r="AU18" s="63"/>
      <c r="AV18" s="63"/>
      <c r="AW18" s="63"/>
      <c r="AX18" s="63">
        <f>1296960.25+237519.36+344733.65</f>
        <v>1879213.2599999998</v>
      </c>
      <c r="AY18" s="69">
        <f t="shared" si="2"/>
        <v>0</v>
      </c>
    </row>
    <row r="19" spans="2:51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93"/>
      <c r="I19" s="191"/>
      <c r="J19" s="174"/>
      <c r="K19" s="169"/>
      <c r="L19" s="164"/>
      <c r="M19" s="161"/>
      <c r="N19" s="153"/>
      <c r="O19" s="140"/>
      <c r="P19" s="139"/>
      <c r="Q19" s="133"/>
      <c r="R19" s="131"/>
      <c r="S19" s="130"/>
      <c r="T19" s="129"/>
      <c r="U19" s="128"/>
      <c r="V19" s="126"/>
      <c r="W19" s="125"/>
      <c r="X19" s="123"/>
      <c r="Y19" s="121"/>
      <c r="Z19" s="111">
        <v>1080287.99</v>
      </c>
      <c r="AA19" s="110"/>
      <c r="AB19" s="102">
        <v>84257.02</v>
      </c>
      <c r="AC19" s="92"/>
      <c r="AD19" s="90">
        <v>1045800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v>19602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>
        <v>2229947.0099999998</v>
      </c>
      <c r="AY19" s="69">
        <f>G19-AX19</f>
        <v>0</v>
      </c>
    </row>
    <row r="20" spans="2:51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8526092.7999999989</v>
      </c>
      <c r="H20" s="193"/>
      <c r="I20" s="191">
        <v>15100.8</v>
      </c>
      <c r="J20" s="174">
        <f>13068+888961.83</f>
        <v>902029.83</v>
      </c>
      <c r="K20" s="169">
        <v>13068</v>
      </c>
      <c r="L20" s="167">
        <v>669349.32999999996</v>
      </c>
      <c r="M20" s="161"/>
      <c r="N20" s="153">
        <f>1816850.63+13068</f>
        <v>1829918.63</v>
      </c>
      <c r="O20" s="140">
        <f>13068+4067489.05</f>
        <v>4080557.05</v>
      </c>
      <c r="P20" s="139"/>
      <c r="Q20" s="133"/>
      <c r="R20" s="131"/>
      <c r="S20" s="130"/>
      <c r="T20" s="129"/>
      <c r="U20" s="128"/>
      <c r="V20" s="126"/>
      <c r="W20" s="125"/>
      <c r="X20" s="123"/>
      <c r="Y20" s="121">
        <v>990490.73</v>
      </c>
      <c r="Z20" s="111"/>
      <c r="AA20" s="110"/>
      <c r="AB20" s="102"/>
      <c r="AC20" s="92"/>
      <c r="AD20" s="90"/>
      <c r="AE20" s="68"/>
      <c r="AF20" s="68"/>
      <c r="AG20" s="68"/>
      <c r="AH20" s="68">
        <v>15347.06</v>
      </c>
      <c r="AI20" s="68"/>
      <c r="AJ20" s="68"/>
      <c r="AK20" s="68"/>
      <c r="AL20" s="63">
        <v>10231.370000000001</v>
      </c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>
        <v>1164763.07</v>
      </c>
      <c r="AY20" s="69">
        <f t="shared" ref="AY20:AY33" si="3">G20-AX20</f>
        <v>7361329.7299999986</v>
      </c>
    </row>
    <row r="21" spans="2:51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93"/>
      <c r="I21" s="191"/>
      <c r="J21" s="174"/>
      <c r="K21" s="169"/>
      <c r="L21" s="167"/>
      <c r="M21" s="161"/>
      <c r="N21" s="148"/>
      <c r="O21" s="140"/>
      <c r="P21" s="139"/>
      <c r="Q21" s="133"/>
      <c r="R21" s="131"/>
      <c r="S21" s="130"/>
      <c r="T21" s="129"/>
      <c r="U21" s="128"/>
      <c r="V21" s="126"/>
      <c r="W21" s="125"/>
      <c r="X21" s="123"/>
      <c r="Y21" s="121">
        <f>26784.85+1733358.77</f>
        <v>1760143.62</v>
      </c>
      <c r="Z21" s="111"/>
      <c r="AA21" s="110">
        <f>26784.85+904220.78</f>
        <v>931005.63</v>
      </c>
      <c r="AB21" s="102">
        <f>2005726.49+33481.06</f>
        <v>2039207.55</v>
      </c>
      <c r="AC21" s="92">
        <v>47869.05</v>
      </c>
      <c r="AD21" s="90"/>
      <c r="AE21" s="68"/>
      <c r="AF21" s="68"/>
      <c r="AG21" s="68"/>
      <c r="AH21" s="68">
        <v>7651.46</v>
      </c>
      <c r="AI21" s="68"/>
      <c r="AJ21" s="68"/>
      <c r="AK21" s="68"/>
      <c r="AL21" s="68">
        <v>5100.97</v>
      </c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>
        <f>361806.95+136416.55+4292754.78</f>
        <v>4790978.28</v>
      </c>
      <c r="AY21" s="69">
        <f t="shared" si="3"/>
        <v>0</v>
      </c>
    </row>
    <row r="22" spans="2:51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>
        <v>34135.199999999997</v>
      </c>
      <c r="AC22" s="63"/>
      <c r="AD22" s="63">
        <f>196510.5+1722767.4</f>
        <v>1919277.9</v>
      </c>
      <c r="AE22" s="63"/>
      <c r="AF22" s="63"/>
      <c r="AG22" s="63"/>
      <c r="AH22" s="63"/>
      <c r="AI22" s="63"/>
      <c r="AJ22" s="63"/>
      <c r="AK22" s="63"/>
      <c r="AL22" s="63">
        <v>10890</v>
      </c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>
        <v>1964303.1</v>
      </c>
      <c r="AY22" s="64">
        <f t="shared" si="3"/>
        <v>0</v>
      </c>
    </row>
    <row r="23" spans="2:51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1851300</v>
      </c>
      <c r="H23" s="193"/>
      <c r="I23" s="191"/>
      <c r="J23" s="174">
        <v>15790.5</v>
      </c>
      <c r="K23" s="169"/>
      <c r="L23" s="167"/>
      <c r="M23" s="161"/>
      <c r="N23" s="148"/>
      <c r="O23" s="140"/>
      <c r="P23" s="139"/>
      <c r="Q23" s="133">
        <v>93109.5</v>
      </c>
      <c r="R23" s="131"/>
      <c r="S23" s="130"/>
      <c r="T23" s="129"/>
      <c r="U23" s="128"/>
      <c r="V23" s="126"/>
      <c r="W23" s="125"/>
      <c r="X23" s="123"/>
      <c r="Y23" s="121"/>
      <c r="Z23" s="111"/>
      <c r="AA23" s="110"/>
      <c r="AB23" s="102"/>
      <c r="AC23" s="92"/>
      <c r="AD23" s="90"/>
      <c r="AE23" s="68"/>
      <c r="AF23" s="68"/>
      <c r="AG23" s="68"/>
      <c r="AH23" s="68"/>
      <c r="AI23" s="68"/>
      <c r="AJ23" s="68"/>
      <c r="AK23" s="68"/>
      <c r="AL23" s="68">
        <f>96800+1645600</f>
        <v>1742400</v>
      </c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>
        <v>1742400</v>
      </c>
      <c r="AY23" s="69">
        <f t="shared" si="3"/>
        <v>108900</v>
      </c>
    </row>
    <row r="24" spans="2:51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7997400.7699999996</v>
      </c>
      <c r="H24" s="63"/>
      <c r="I24" s="63"/>
      <c r="J24" s="63"/>
      <c r="K24" s="63"/>
      <c r="L24" s="63"/>
      <c r="M24" s="63"/>
      <c r="N24" s="63"/>
      <c r="O24" s="63">
        <v>655374.74</v>
      </c>
      <c r="P24" s="63"/>
      <c r="Q24" s="63"/>
      <c r="R24" s="63">
        <v>473987.58</v>
      </c>
      <c r="S24" s="63">
        <v>1350327.26</v>
      </c>
      <c r="T24" s="63"/>
      <c r="U24" s="63"/>
      <c r="V24" s="63">
        <v>602805.02</v>
      </c>
      <c r="W24" s="63">
        <v>359915.87</v>
      </c>
      <c r="X24" s="63"/>
      <c r="Y24" s="63">
        <f>1084855.23-6343.1</f>
        <v>1078512.1299999999</v>
      </c>
      <c r="Z24" s="63"/>
      <c r="AA24" s="63">
        <v>910338.45</v>
      </c>
      <c r="AB24" s="63">
        <v>293046.09999999998</v>
      </c>
      <c r="AC24" s="63"/>
      <c r="AD24" s="63"/>
      <c r="AE24" s="63"/>
      <c r="AF24" s="63"/>
      <c r="AG24" s="63"/>
      <c r="AH24" s="63">
        <v>701231.24</v>
      </c>
      <c r="AI24" s="63">
        <v>1091457.3899999999</v>
      </c>
      <c r="AJ24" s="63">
        <v>5092.2</v>
      </c>
      <c r="AK24" s="63">
        <v>427798.52</v>
      </c>
      <c r="AL24" s="63">
        <f>44874.59+2639.68</f>
        <v>47514.27</v>
      </c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>
        <v>1753633.07</v>
      </c>
      <c r="AY24" s="64">
        <f t="shared" si="3"/>
        <v>6243767.6999999993</v>
      </c>
    </row>
    <row r="25" spans="2:51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93"/>
      <c r="I25" s="191"/>
      <c r="J25" s="174"/>
      <c r="K25" s="169"/>
      <c r="L25" s="167"/>
      <c r="M25" s="161"/>
      <c r="N25" s="148"/>
      <c r="O25" s="140"/>
      <c r="P25" s="139"/>
      <c r="Q25" s="133"/>
      <c r="R25" s="131"/>
      <c r="S25" s="130"/>
      <c r="T25" s="129"/>
      <c r="U25" s="128"/>
      <c r="V25" s="126"/>
      <c r="W25" s="125">
        <v>4459468.4800000004</v>
      </c>
      <c r="X25" s="123"/>
      <c r="Y25" s="121">
        <v>3721675.46</v>
      </c>
      <c r="Z25" s="111">
        <v>20691</v>
      </c>
      <c r="AA25" s="110">
        <v>3549313.4</v>
      </c>
      <c r="AB25" s="102">
        <f>20691+20691</f>
        <v>41382</v>
      </c>
      <c r="AC25" s="92">
        <v>1851669.16</v>
      </c>
      <c r="AD25" s="90"/>
      <c r="AE25" s="68">
        <v>20691</v>
      </c>
      <c r="AF25" s="68">
        <v>940322.64</v>
      </c>
      <c r="AG25" s="68">
        <f>20691+1446397.62</f>
        <v>1467088.62</v>
      </c>
      <c r="AH25" s="68">
        <v>20691</v>
      </c>
      <c r="AI25" s="68">
        <v>1089444.99</v>
      </c>
      <c r="AJ25" s="68">
        <v>4602.6000000000004</v>
      </c>
      <c r="AK25" s="68">
        <f>31581+2740306.31</f>
        <v>2771887.31</v>
      </c>
      <c r="AL25" s="68">
        <v>567591.9</v>
      </c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>
        <f>6882320.06+13644199.5</f>
        <v>20526519.559999999</v>
      </c>
      <c r="AY25" s="69">
        <f t="shared" si="3"/>
        <v>0</v>
      </c>
    </row>
    <row r="26" spans="2:51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193"/>
      <c r="I26" s="191"/>
      <c r="J26" s="174"/>
      <c r="K26" s="169"/>
      <c r="L26" s="167"/>
      <c r="M26" s="161"/>
      <c r="N26" s="148"/>
      <c r="O26" s="140"/>
      <c r="P26" s="139"/>
      <c r="Q26" s="133"/>
      <c r="R26" s="131"/>
      <c r="S26" s="130"/>
      <c r="T26" s="129"/>
      <c r="U26" s="128"/>
      <c r="V26" s="126"/>
      <c r="W26" s="125"/>
      <c r="X26" s="123"/>
      <c r="Y26" s="121"/>
      <c r="Z26" s="111"/>
      <c r="AA26" s="110"/>
      <c r="AB26" s="102"/>
      <c r="AC26" s="92"/>
      <c r="AD26" s="90"/>
      <c r="AE26" s="68">
        <v>8349.6</v>
      </c>
      <c r="AF26" s="68"/>
      <c r="AG26" s="68"/>
      <c r="AH26" s="68"/>
      <c r="AI26" s="68"/>
      <c r="AJ26" s="68"/>
      <c r="AK26" s="68"/>
      <c r="AL26" s="68">
        <v>6679.4</v>
      </c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9">
        <f t="shared" si="3"/>
        <v>15029</v>
      </c>
    </row>
    <row r="27" spans="2:51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193"/>
      <c r="I27" s="191"/>
      <c r="J27" s="174"/>
      <c r="K27" s="169"/>
      <c r="L27" s="167"/>
      <c r="M27" s="161"/>
      <c r="N27" s="148"/>
      <c r="O27" s="140"/>
      <c r="P27" s="139"/>
      <c r="Q27" s="133"/>
      <c r="R27" s="131"/>
      <c r="S27" s="130"/>
      <c r="T27" s="129"/>
      <c r="U27" s="128"/>
      <c r="V27" s="126"/>
      <c r="W27" s="125"/>
      <c r="X27" s="123"/>
      <c r="Y27" s="121"/>
      <c r="Z27" s="111"/>
      <c r="AA27" s="110"/>
      <c r="AB27" s="102"/>
      <c r="AC27" s="92"/>
      <c r="AD27" s="90"/>
      <c r="AE27" s="68">
        <v>9748.7999999999993</v>
      </c>
      <c r="AF27" s="68"/>
      <c r="AG27" s="68"/>
      <c r="AH27" s="68"/>
      <c r="AI27" s="68"/>
      <c r="AJ27" s="68"/>
      <c r="AK27" s="68"/>
      <c r="AL27" s="68">
        <v>7799.2</v>
      </c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9">
        <f t="shared" si="3"/>
        <v>17548</v>
      </c>
    </row>
    <row r="28" spans="2:51" ht="31.5" x14ac:dyDescent="0.25">
      <c r="B28" s="176">
        <v>52</v>
      </c>
      <c r="C28" s="66">
        <v>101255</v>
      </c>
      <c r="D28" s="180" t="s">
        <v>113</v>
      </c>
      <c r="E28" s="67" t="s">
        <v>67</v>
      </c>
      <c r="F28" s="177">
        <v>8159082.4000000004</v>
      </c>
      <c r="G28" s="63">
        <f t="shared" si="0"/>
        <v>5648914.5500000007</v>
      </c>
      <c r="H28" s="193"/>
      <c r="I28" s="191">
        <v>3699408.56</v>
      </c>
      <c r="J28" s="177">
        <v>1934202.59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>
        <v>8502.2000000000007</v>
      </c>
      <c r="AF28" s="177"/>
      <c r="AG28" s="177"/>
      <c r="AH28" s="177"/>
      <c r="AI28" s="177"/>
      <c r="AJ28" s="177"/>
      <c r="AK28" s="177"/>
      <c r="AL28" s="177">
        <v>6801.2</v>
      </c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8">
        <f t="shared" si="3"/>
        <v>5648914.5500000007</v>
      </c>
    </row>
    <row r="29" spans="2:51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8887225.2599999998</v>
      </c>
      <c r="H29" s="63"/>
      <c r="I29" s="63">
        <v>2575258.1800000002</v>
      </c>
      <c r="J29" s="63">
        <f>22824.47+3138344.28+12731.1+22824.47</f>
        <v>3196724.3200000003</v>
      </c>
      <c r="K29" s="63">
        <v>22824.47</v>
      </c>
      <c r="L29" s="63">
        <v>3050540.05</v>
      </c>
      <c r="M29" s="63"/>
      <c r="N29" s="63"/>
      <c r="O29" s="63">
        <v>20139.240000000002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>
        <v>12077</v>
      </c>
      <c r="AF29" s="63"/>
      <c r="AG29" s="63"/>
      <c r="AH29" s="63"/>
      <c r="AI29" s="63"/>
      <c r="AJ29" s="63"/>
      <c r="AK29" s="63"/>
      <c r="AL29" s="63">
        <v>9662</v>
      </c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>
        <v>3208044.42</v>
      </c>
      <c r="AY29" s="64">
        <f t="shared" si="3"/>
        <v>5679180.8399999999</v>
      </c>
    </row>
    <row r="30" spans="2:51" ht="15.75" x14ac:dyDescent="0.25">
      <c r="B30" s="176">
        <v>12</v>
      </c>
      <c r="C30" s="66">
        <v>1600</v>
      </c>
      <c r="D30" s="180" t="s">
        <v>114</v>
      </c>
      <c r="E30" s="67" t="s">
        <v>69</v>
      </c>
      <c r="F30" s="177">
        <v>148836202.09999999</v>
      </c>
      <c r="G30" s="63">
        <f t="shared" si="0"/>
        <v>35403642.129999995</v>
      </c>
      <c r="H30" s="193"/>
      <c r="I30" s="191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>
        <f>44745.3+17404837.93+9855.9</f>
        <v>17459439.129999999</v>
      </c>
      <c r="AK30" s="177"/>
      <c r="AL30" s="177">
        <v>17944203</v>
      </c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>
        <v>35403642.130000003</v>
      </c>
      <c r="AY30" s="178">
        <f t="shared" si="3"/>
        <v>0</v>
      </c>
    </row>
    <row r="31" spans="2:51" ht="31.5" x14ac:dyDescent="0.25">
      <c r="B31" s="176">
        <v>19</v>
      </c>
      <c r="C31" s="66">
        <v>1204</v>
      </c>
      <c r="D31" s="175" t="s">
        <v>118</v>
      </c>
      <c r="E31" s="67" t="s">
        <v>89</v>
      </c>
      <c r="F31" s="177">
        <v>1814555.22</v>
      </c>
      <c r="G31" s="63">
        <f t="shared" si="0"/>
        <v>1726955.35</v>
      </c>
      <c r="H31" s="193"/>
      <c r="I31" s="191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>
        <v>4793.2299999999996</v>
      </c>
      <c r="AI31" s="177"/>
      <c r="AJ31" s="177"/>
      <c r="AK31" s="177">
        <f>1502273.87</f>
        <v>1502273.87</v>
      </c>
      <c r="AL31" s="177">
        <v>219888.25</v>
      </c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>
        <v>1726955.35</v>
      </c>
      <c r="AY31" s="178">
        <f t="shared" si="3"/>
        <v>0</v>
      </c>
    </row>
    <row r="32" spans="2:51" ht="15.75" x14ac:dyDescent="0.25">
      <c r="B32" s="176">
        <v>50</v>
      </c>
      <c r="C32" s="66">
        <v>100920</v>
      </c>
      <c r="D32" s="180" t="s">
        <v>113</v>
      </c>
      <c r="E32" s="67" t="s">
        <v>70</v>
      </c>
      <c r="F32" s="177">
        <v>80176109.400000006</v>
      </c>
      <c r="G32" s="63">
        <f t="shared" si="0"/>
        <v>77402560.790000007</v>
      </c>
      <c r="H32" s="193">
        <v>29228.83</v>
      </c>
      <c r="I32" s="191">
        <f>39029.76+4083.75+547377.69</f>
        <v>590491.19999999995</v>
      </c>
      <c r="J32" s="177">
        <f>39029.76+9583.2+8535033.89</f>
        <v>8583646.8500000015</v>
      </c>
      <c r="K32" s="177">
        <f>2188605.92+39029.76</f>
        <v>2227635.6799999997</v>
      </c>
      <c r="L32" s="177">
        <f>11979+3671639.43</f>
        <v>3683618.43</v>
      </c>
      <c r="M32" s="177"/>
      <c r="N32" s="177">
        <f>3671639.43+39029.76+9583.2</f>
        <v>3720252.39</v>
      </c>
      <c r="O32" s="177"/>
      <c r="P32" s="177">
        <v>1560775.22</v>
      </c>
      <c r="Q32" s="177"/>
      <c r="R32" s="177"/>
      <c r="S32" s="177"/>
      <c r="T32" s="177"/>
      <c r="U32" s="177">
        <v>2395.8000000000002</v>
      </c>
      <c r="V32" s="177">
        <f>17075.52+4791.6</f>
        <v>21867.120000000003</v>
      </c>
      <c r="W32" s="177">
        <v>4413171.76</v>
      </c>
      <c r="X32" s="177">
        <f>9583.2+39029.76</f>
        <v>48612.960000000006</v>
      </c>
      <c r="Y32" s="177">
        <f>39029.76+9515077.89+11979+306128.15</f>
        <v>9872214.8000000007</v>
      </c>
      <c r="Z32" s="177"/>
      <c r="AA32" s="177">
        <f>39029.76+9583.2+5077846.77</f>
        <v>5126459.7299999995</v>
      </c>
      <c r="AB32" s="177"/>
      <c r="AC32" s="177">
        <f>39029.76+9583.2+27782426.64</f>
        <v>27831039.600000001</v>
      </c>
      <c r="AD32" s="177"/>
      <c r="AE32" s="177">
        <f>9531720.82+21954.24+11325.6+39029.76</f>
        <v>9604030.4199999999</v>
      </c>
      <c r="AF32" s="177"/>
      <c r="AG32" s="177"/>
      <c r="AH32" s="177"/>
      <c r="AI32" s="177">
        <v>52272</v>
      </c>
      <c r="AJ32" s="177"/>
      <c r="AK32" s="177"/>
      <c r="AL32" s="177">
        <v>34848</v>
      </c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>
        <f>37511649.75+19462855.04</f>
        <v>56974504.789999999</v>
      </c>
      <c r="AY32" s="178">
        <f t="shared" si="3"/>
        <v>20428056.000000007</v>
      </c>
    </row>
    <row r="33" spans="2:53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SUM(H33:AW33)</f>
        <v>17330548.359999999</v>
      </c>
      <c r="H33" s="73"/>
      <c r="I33" s="73"/>
      <c r="J33" s="73"/>
      <c r="K33" s="73"/>
      <c r="L33" s="165"/>
      <c r="M33" s="73"/>
      <c r="N33" s="73"/>
      <c r="O33" s="73"/>
      <c r="P33" s="73"/>
      <c r="Q33" s="73"/>
      <c r="R33" s="73"/>
      <c r="S33" s="73"/>
      <c r="T33" s="73"/>
      <c r="U33" s="73"/>
      <c r="V33" s="73">
        <f>485694+341319.82+227345.08-24351.12</f>
        <v>1030007.7800000001</v>
      </c>
      <c r="W33" s="73">
        <f>1131498+616472.01</f>
        <v>1747970.01</v>
      </c>
      <c r="X33" s="73"/>
      <c r="Y33" s="73">
        <f>965426.4+25110+3201.66+72407.6+3243331.99+871116.15</f>
        <v>5180593.8000000007</v>
      </c>
      <c r="Z33" s="73">
        <v>1076306.6200000001</v>
      </c>
      <c r="AA33" s="73">
        <f>3243331.99+871116.15+72407.61</f>
        <v>4186855.75</v>
      </c>
      <c r="AB33" s="73"/>
      <c r="AC33" s="73">
        <v>2088989.1</v>
      </c>
      <c r="AD33" s="73"/>
      <c r="AE33" s="73"/>
      <c r="AF33" s="73">
        <f>245922.85+14466.05+1269112.05+74653.65+19582.6+1151.9</f>
        <v>1624889.0999999999</v>
      </c>
      <c r="AG33" s="73"/>
      <c r="AH33" s="73"/>
      <c r="AI33" s="73">
        <f>256535.95+15090.35</f>
        <v>271626.3</v>
      </c>
      <c r="AJ33" s="73"/>
      <c r="AK33" s="73">
        <f>116459.35+6850.55</f>
        <v>123309.90000000001</v>
      </c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>
        <f>1770503.08+2049230.16+70426.37+13440388.75</f>
        <v>17330548.359999999</v>
      </c>
      <c r="AY33" s="74">
        <f t="shared" si="3"/>
        <v>0</v>
      </c>
    </row>
    <row r="34" spans="2:53" ht="32.25" thickTop="1" x14ac:dyDescent="0.25">
      <c r="B34" s="75">
        <v>19</v>
      </c>
      <c r="C34" s="76">
        <v>1208</v>
      </c>
      <c r="D34" s="181" t="s">
        <v>119</v>
      </c>
      <c r="E34" s="77" t="s">
        <v>72</v>
      </c>
      <c r="F34" s="78">
        <v>2790000</v>
      </c>
      <c r="G34" s="179">
        <f>SUM(H34:AW34)</f>
        <v>1797719.73</v>
      </c>
      <c r="H34" s="194"/>
      <c r="I34" s="192"/>
      <c r="J34" s="78"/>
      <c r="K34" s="78"/>
      <c r="L34" s="182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>
        <v>1482639.27</v>
      </c>
      <c r="AJ34" s="78"/>
      <c r="AK34" s="78">
        <f>364580.96-49500.5</f>
        <v>315080.46000000002</v>
      </c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>
        <f>1725721.8+71997.93</f>
        <v>1797719.73</v>
      </c>
      <c r="AY34" s="79">
        <f>G34-AX34</f>
        <v>0</v>
      </c>
    </row>
    <row r="35" spans="2:53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SUM(H35:AW35)</f>
        <v>1776558.39</v>
      </c>
      <c r="H35" s="63"/>
      <c r="I35" s="63"/>
      <c r="J35" s="63"/>
      <c r="K35" s="63"/>
      <c r="L35" s="1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>
        <v>14033.92</v>
      </c>
      <c r="AJ35" s="63">
        <v>1762524.47</v>
      </c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>
        <v>1776558.39</v>
      </c>
      <c r="AY35" s="64">
        <f>G35-AX35</f>
        <v>0</v>
      </c>
    </row>
    <row r="36" spans="2:53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SUM(H36:AW36)</f>
        <v>3407826.0700000003</v>
      </c>
      <c r="H36" s="63"/>
      <c r="I36" s="63"/>
      <c r="J36" s="63"/>
      <c r="K36" s="63"/>
      <c r="L36" s="1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>
        <v>682986.07</v>
      </c>
      <c r="Y36" s="63"/>
      <c r="Z36" s="63">
        <v>794014.2</v>
      </c>
      <c r="AA36" s="63">
        <v>491514.3</v>
      </c>
      <c r="AB36" s="63">
        <f>483652.8</f>
        <v>483652.8</v>
      </c>
      <c r="AC36" s="63">
        <v>133947</v>
      </c>
      <c r="AD36" s="63">
        <v>10890</v>
      </c>
      <c r="AE36" s="63"/>
      <c r="AF36" s="63">
        <v>412731</v>
      </c>
      <c r="AG36" s="63">
        <v>387200.7</v>
      </c>
      <c r="AH36" s="63"/>
      <c r="AI36" s="63"/>
      <c r="AJ36" s="63">
        <v>10890</v>
      </c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>
        <f>3333892.44+73933.63</f>
        <v>3407826.07</v>
      </c>
      <c r="AY36" s="64">
        <f t="shared" ref="AY36:AY46" si="5">G36-AX36</f>
        <v>0</v>
      </c>
    </row>
    <row r="37" spans="2:53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93"/>
      <c r="I37" s="191"/>
      <c r="J37" s="174"/>
      <c r="K37" s="169"/>
      <c r="L37" s="164"/>
      <c r="M37" s="161"/>
      <c r="N37" s="148"/>
      <c r="O37" s="140"/>
      <c r="P37" s="139"/>
      <c r="Q37" s="133"/>
      <c r="R37" s="131"/>
      <c r="S37" s="130"/>
      <c r="T37" s="129"/>
      <c r="U37" s="128"/>
      <c r="V37" s="126"/>
      <c r="W37" s="125"/>
      <c r="X37" s="123">
        <v>49549.5</v>
      </c>
      <c r="Y37" s="121"/>
      <c r="Z37" s="111">
        <v>43549.2</v>
      </c>
      <c r="AA37" s="110">
        <v>69794.100000000006</v>
      </c>
      <c r="AB37" s="102"/>
      <c r="AC37" s="92">
        <f>194441.4+1486485</f>
        <v>1680926.4</v>
      </c>
      <c r="AD37" s="90">
        <v>114300</v>
      </c>
      <c r="AE37" s="68"/>
      <c r="AF37" s="68">
        <v>27225</v>
      </c>
      <c r="AG37" s="68"/>
      <c r="AH37" s="68"/>
      <c r="AI37" s="68"/>
      <c r="AJ37" s="68">
        <v>411609.59999999998</v>
      </c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>
        <v>2396953.7999999998</v>
      </c>
      <c r="AY37" s="69">
        <f t="shared" si="5"/>
        <v>0</v>
      </c>
    </row>
    <row r="38" spans="2:53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93"/>
      <c r="I38" s="191"/>
      <c r="J38" s="174"/>
      <c r="K38" s="169"/>
      <c r="L38" s="164"/>
      <c r="M38" s="161"/>
      <c r="N38" s="148"/>
      <c r="O38" s="140"/>
      <c r="P38" s="139"/>
      <c r="Q38" s="133"/>
      <c r="R38" s="131"/>
      <c r="S38" s="130"/>
      <c r="T38" s="129"/>
      <c r="U38" s="128"/>
      <c r="V38" s="126"/>
      <c r="W38" s="125">
        <v>19071.66</v>
      </c>
      <c r="X38" s="123">
        <v>3967247.7</v>
      </c>
      <c r="Y38" s="121"/>
      <c r="Z38" s="111">
        <v>1467177.03</v>
      </c>
      <c r="AA38" s="110">
        <v>1753330.04</v>
      </c>
      <c r="AB38" s="102">
        <f>62204.4+22500+1542820.07+407873.7</f>
        <v>2035398.17</v>
      </c>
      <c r="AC38" s="92">
        <v>20364.3</v>
      </c>
      <c r="AD38" s="90"/>
      <c r="AE38" s="68">
        <f>112679.2+1915546.4+4385+74545</f>
        <v>2107155.5999999996</v>
      </c>
      <c r="AF38" s="68">
        <f>1197.9+20364.3</f>
        <v>21562.2</v>
      </c>
      <c r="AG38" s="68"/>
      <c r="AH38" s="68">
        <v>283959</v>
      </c>
      <c r="AI38" s="68">
        <v>383205.6</v>
      </c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>
        <f>2574752.58+9109869.51+373849.21</f>
        <v>12058471.300000001</v>
      </c>
      <c r="AY38" s="69">
        <f t="shared" si="5"/>
        <v>0</v>
      </c>
      <c r="BA38" s="101"/>
    </row>
    <row r="39" spans="2:53" ht="47.2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93"/>
      <c r="I39" s="191"/>
      <c r="J39" s="174"/>
      <c r="K39" s="169"/>
      <c r="L39" s="164"/>
      <c r="M39" s="161"/>
      <c r="N39" s="148"/>
      <c r="O39" s="140"/>
      <c r="P39" s="139"/>
      <c r="Q39" s="133"/>
      <c r="R39" s="131"/>
      <c r="S39" s="130"/>
      <c r="T39" s="129"/>
      <c r="U39" s="128"/>
      <c r="V39" s="126"/>
      <c r="W39" s="125"/>
      <c r="X39" s="123"/>
      <c r="Y39" s="121"/>
      <c r="Z39" s="111">
        <v>3424460.4</v>
      </c>
      <c r="AA39" s="110"/>
      <c r="AB39" s="102"/>
      <c r="AC39" s="92"/>
      <c r="AD39" s="90">
        <v>432432.9</v>
      </c>
      <c r="AE39" s="68"/>
      <c r="AF39" s="68"/>
      <c r="AG39" s="68"/>
      <c r="AH39" s="68"/>
      <c r="AI39" s="68">
        <v>371658.6</v>
      </c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>
        <v>4057328.79</v>
      </c>
      <c r="AY39" s="69">
        <f t="shared" si="5"/>
        <v>171223.1099999994</v>
      </c>
    </row>
    <row r="40" spans="2:53" ht="24.95" customHeight="1" x14ac:dyDescent="0.25">
      <c r="B40" s="225">
        <v>52</v>
      </c>
      <c r="C40" s="66">
        <v>101050</v>
      </c>
      <c r="D40" s="208" t="s">
        <v>113</v>
      </c>
      <c r="E40" s="223" t="s">
        <v>82</v>
      </c>
      <c r="F40" s="216">
        <v>6250335.1500000004</v>
      </c>
      <c r="G40" s="216">
        <f>SUM(H41:AW41)+SUM(H40:AW40)</f>
        <v>6146069.1999999993</v>
      </c>
      <c r="H40" s="63"/>
      <c r="I40" s="63"/>
      <c r="J40" s="63"/>
      <c r="K40" s="63"/>
      <c r="L40" s="1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>
        <f>380530.4+2976+8228</f>
        <v>391734.4</v>
      </c>
      <c r="AA40" s="63">
        <v>525921.6</v>
      </c>
      <c r="AB40" s="63">
        <v>93748.4</v>
      </c>
      <c r="AC40" s="63">
        <v>2980</v>
      </c>
      <c r="AD40" s="63">
        <f>15488-4719</f>
        <v>10769</v>
      </c>
      <c r="AE40" s="68">
        <f>3280+1017982.4+444381.6-444381.6</f>
        <v>1021262.4</v>
      </c>
      <c r="AF40" s="68"/>
      <c r="AG40" s="68">
        <f>1235620+7200</f>
        <v>1242820</v>
      </c>
      <c r="AH40" s="68"/>
      <c r="AI40" s="68">
        <f>544272.4+7200</f>
        <v>551472.4</v>
      </c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216">
        <f>1870814.4+4275254.8</f>
        <v>6146069.1999999993</v>
      </c>
      <c r="AY40" s="214">
        <f>G40-AX40-AX41</f>
        <v>0</v>
      </c>
      <c r="BA40" s="89"/>
    </row>
    <row r="41" spans="2:53" ht="24.95" customHeight="1" x14ac:dyDescent="0.25">
      <c r="B41" s="226"/>
      <c r="C41" s="88">
        <v>100700</v>
      </c>
      <c r="D41" s="209"/>
      <c r="E41" s="224"/>
      <c r="F41" s="227"/>
      <c r="G41" s="227"/>
      <c r="H41" s="124"/>
      <c r="I41" s="124"/>
      <c r="J41" s="124"/>
      <c r="K41" s="124"/>
      <c r="L41" s="166"/>
      <c r="M41" s="124"/>
      <c r="N41" s="124"/>
      <c r="O41" s="124"/>
      <c r="P41" s="124"/>
      <c r="Q41" s="132"/>
      <c r="R41" s="132"/>
      <c r="S41" s="124"/>
      <c r="T41" s="124"/>
      <c r="U41" s="124"/>
      <c r="V41" s="124"/>
      <c r="W41" s="124"/>
      <c r="X41" s="124"/>
      <c r="Y41" s="63"/>
      <c r="Z41" s="63">
        <f>670314.8+5176+8228</f>
        <v>683718.8</v>
      </c>
      <c r="AA41" s="63">
        <v>967986.8</v>
      </c>
      <c r="AB41" s="63">
        <f>187044.8+6160</f>
        <v>193204.8</v>
      </c>
      <c r="AC41" s="92">
        <v>2480</v>
      </c>
      <c r="AD41" s="90">
        <f>6050+4719</f>
        <v>10769</v>
      </c>
      <c r="AE41" s="87">
        <f>2820+444381.6</f>
        <v>447201.6</v>
      </c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217"/>
      <c r="AY41" s="215"/>
    </row>
    <row r="42" spans="2:53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SUM(H42:AW42)</f>
        <v>2681999.2799999998</v>
      </c>
      <c r="H42" s="63"/>
      <c r="I42" s="63"/>
      <c r="J42" s="63"/>
      <c r="K42" s="63"/>
      <c r="L42" s="1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123"/>
      <c r="Y42" s="121"/>
      <c r="Z42" s="111"/>
      <c r="AA42" s="110"/>
      <c r="AB42" s="102">
        <v>2123550</v>
      </c>
      <c r="AC42" s="92"/>
      <c r="AD42" s="90">
        <v>485370</v>
      </c>
      <c r="AE42" s="68"/>
      <c r="AF42" s="68"/>
      <c r="AG42" s="68"/>
      <c r="AH42" s="68">
        <v>10890</v>
      </c>
      <c r="AI42" s="68">
        <v>62189.279999999999</v>
      </c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>
        <v>2575821.7799999998</v>
      </c>
      <c r="AY42" s="69">
        <f t="shared" si="5"/>
        <v>106177.5</v>
      </c>
    </row>
    <row r="43" spans="2:53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SUM(H43:AW43)</f>
        <v>3045540.66</v>
      </c>
      <c r="H43" s="193"/>
      <c r="I43" s="191"/>
      <c r="J43" s="174"/>
      <c r="K43" s="169"/>
      <c r="L43" s="164"/>
      <c r="M43" s="161"/>
      <c r="N43" s="148"/>
      <c r="O43" s="140"/>
      <c r="P43" s="139"/>
      <c r="Q43" s="133"/>
      <c r="R43" s="131"/>
      <c r="S43" s="130"/>
      <c r="T43" s="129"/>
      <c r="U43" s="128"/>
      <c r="V43" s="126"/>
      <c r="W43" s="125"/>
      <c r="X43" s="123"/>
      <c r="Y43" s="121">
        <v>818658.81</v>
      </c>
      <c r="Z43" s="111">
        <v>173035.57</v>
      </c>
      <c r="AA43" s="110">
        <v>255302.91</v>
      </c>
      <c r="AB43" s="102">
        <v>69804.899999999994</v>
      </c>
      <c r="AC43" s="92">
        <v>1050090.3</v>
      </c>
      <c r="AD43" s="90">
        <f>569533.01+10890</f>
        <v>580423.01</v>
      </c>
      <c r="AE43" s="68"/>
      <c r="AF43" s="68"/>
      <c r="AG43" s="68">
        <v>87335.16</v>
      </c>
      <c r="AH43" s="68"/>
      <c r="AI43" s="68">
        <v>10890</v>
      </c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>
        <v>3045540.66</v>
      </c>
      <c r="AY43" s="69">
        <f t="shared" si="5"/>
        <v>0</v>
      </c>
    </row>
    <row r="44" spans="2:53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193"/>
      <c r="I44" s="191"/>
      <c r="J44" s="174"/>
      <c r="K44" s="169"/>
      <c r="L44" s="164"/>
      <c r="M44" s="161"/>
      <c r="N44" s="148"/>
      <c r="O44" s="140"/>
      <c r="P44" s="139"/>
      <c r="Q44" s="133"/>
      <c r="R44" s="131"/>
      <c r="S44" s="130"/>
      <c r="T44" s="129"/>
      <c r="U44" s="128"/>
      <c r="V44" s="127">
        <f>15246+3615371.1+352969.2+873337.57+22185.9+27116.1+3822.3+120922.2</f>
        <v>5030970.37</v>
      </c>
      <c r="W44" s="125">
        <f>265924.8+12109.5</f>
        <v>278034.3</v>
      </c>
      <c r="X44" s="123">
        <f>371186.1+148104</f>
        <v>519290.1</v>
      </c>
      <c r="Y44" s="121">
        <f>126147.6-871.2</f>
        <v>125276.40000000001</v>
      </c>
      <c r="Z44" s="111"/>
      <c r="AA44" s="110"/>
      <c r="AB44" s="102">
        <f>669724.11+399085.82</f>
        <v>1068809.93</v>
      </c>
      <c r="AC44" s="92"/>
      <c r="AD44" s="90"/>
      <c r="AE44" s="68"/>
      <c r="AF44" s="68"/>
      <c r="AG44" s="68">
        <f>822.8+48.4</f>
        <v>871.19999999999993</v>
      </c>
      <c r="AH44" s="68">
        <f>822.8+48.4</f>
        <v>871.19999999999993</v>
      </c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>
        <v>7024123.5</v>
      </c>
      <c r="AY44" s="69">
        <f t="shared" si="5"/>
        <v>0</v>
      </c>
    </row>
    <row r="45" spans="2:53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93"/>
      <c r="I45" s="191"/>
      <c r="J45" s="174"/>
      <c r="K45" s="169"/>
      <c r="L45" s="164"/>
      <c r="M45" s="161"/>
      <c r="N45" s="148"/>
      <c r="O45" s="140"/>
      <c r="P45" s="139"/>
      <c r="Q45" s="133"/>
      <c r="R45" s="131"/>
      <c r="S45" s="130"/>
      <c r="T45" s="129"/>
      <c r="U45" s="128"/>
      <c r="V45" s="126"/>
      <c r="W45" s="125"/>
      <c r="X45" s="123"/>
      <c r="Y45" s="121">
        <f>289965.6-4356</f>
        <v>285609.59999999998</v>
      </c>
      <c r="Z45" s="111">
        <v>20745.45</v>
      </c>
      <c r="AA45" s="110">
        <v>438104.7</v>
      </c>
      <c r="AB45" s="102"/>
      <c r="AC45" s="92"/>
      <c r="AD45" s="90">
        <v>635540.4</v>
      </c>
      <c r="AE45" s="68"/>
      <c r="AF45" s="68">
        <v>686693.7</v>
      </c>
      <c r="AG45" s="68"/>
      <c r="AH45" s="68">
        <v>21780</v>
      </c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>
        <f>2030103.45+58370.4</f>
        <v>2088473.8499999999</v>
      </c>
      <c r="AY45" s="69">
        <f t="shared" si="5"/>
        <v>0</v>
      </c>
    </row>
    <row r="46" spans="2:53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193"/>
      <c r="I46" s="191"/>
      <c r="J46" s="174"/>
      <c r="K46" s="169"/>
      <c r="L46" s="164"/>
      <c r="M46" s="161"/>
      <c r="N46" s="148"/>
      <c r="O46" s="140"/>
      <c r="P46" s="139"/>
      <c r="Q46" s="133"/>
      <c r="R46" s="131"/>
      <c r="S46" s="130"/>
      <c r="T46" s="129"/>
      <c r="U46" s="128"/>
      <c r="V46" s="126"/>
      <c r="W46" s="125"/>
      <c r="X46" s="123"/>
      <c r="Y46" s="121"/>
      <c r="Z46" s="111"/>
      <c r="AA46" s="110"/>
      <c r="AB46" s="102"/>
      <c r="AC46" s="92"/>
      <c r="AD46" s="90"/>
      <c r="AE46" s="68"/>
      <c r="AF46" s="68"/>
      <c r="AG46" s="68">
        <v>1007216.1</v>
      </c>
      <c r="AH46" s="68">
        <v>1638400.5</v>
      </c>
      <c r="AI46" s="68"/>
      <c r="AJ46" s="68"/>
      <c r="AK46" s="68">
        <v>49500.5</v>
      </c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>
        <v>2695117.1</v>
      </c>
      <c r="AY46" s="69">
        <f t="shared" si="5"/>
        <v>0</v>
      </c>
    </row>
    <row r="47" spans="2:53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93"/>
      <c r="I47" s="191"/>
      <c r="J47" s="174"/>
      <c r="K47" s="169"/>
      <c r="L47" s="164"/>
      <c r="M47" s="161"/>
      <c r="N47" s="148"/>
      <c r="O47" s="140"/>
      <c r="P47" s="139"/>
      <c r="Q47" s="133"/>
      <c r="R47" s="131"/>
      <c r="S47" s="130"/>
      <c r="T47" s="129"/>
      <c r="U47" s="128"/>
      <c r="V47" s="126"/>
      <c r="W47" s="125">
        <v>1266686.74</v>
      </c>
      <c r="X47" s="123"/>
      <c r="Y47" s="121"/>
      <c r="Z47" s="111">
        <v>4601678.4000000004</v>
      </c>
      <c r="AA47" s="110"/>
      <c r="AB47" s="102">
        <v>35338.5</v>
      </c>
      <c r="AC47" s="92">
        <f>1256303.94+73900.23</f>
        <v>1330204.17</v>
      </c>
      <c r="AD47" s="90"/>
      <c r="AE47" s="68"/>
      <c r="AF47" s="68">
        <v>290705.71999999997</v>
      </c>
      <c r="AG47" s="68">
        <v>217003.5</v>
      </c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>
        <v>7741617.0300000003</v>
      </c>
      <c r="AY47" s="69">
        <f t="shared" ref="AY47:AY55" si="7">G47-AX47</f>
        <v>0</v>
      </c>
    </row>
    <row r="48" spans="2:53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93"/>
      <c r="I48" s="191"/>
      <c r="J48" s="174"/>
      <c r="K48" s="169"/>
      <c r="L48" s="164"/>
      <c r="M48" s="161"/>
      <c r="N48" s="148"/>
      <c r="O48" s="140"/>
      <c r="P48" s="139"/>
      <c r="Q48" s="133"/>
      <c r="R48" s="131"/>
      <c r="S48" s="130"/>
      <c r="T48" s="129"/>
      <c r="U48" s="128"/>
      <c r="V48" s="126"/>
      <c r="W48" s="125"/>
      <c r="X48" s="123"/>
      <c r="Y48" s="121">
        <v>25895.32</v>
      </c>
      <c r="Z48" s="111"/>
      <c r="AA48" s="110"/>
      <c r="AB48" s="102">
        <f>506123.95+428085.9</f>
        <v>934209.85000000009</v>
      </c>
      <c r="AC48" s="92"/>
      <c r="AD48" s="90"/>
      <c r="AE48" s="68"/>
      <c r="AF48" s="68"/>
      <c r="AG48" s="68">
        <v>930922.2</v>
      </c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>
        <v>1891027.37</v>
      </c>
      <c r="AY48" s="69">
        <f t="shared" si="7"/>
        <v>0</v>
      </c>
    </row>
    <row r="49" spans="2:53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193"/>
      <c r="I49" s="191"/>
      <c r="J49" s="174"/>
      <c r="K49" s="169"/>
      <c r="L49" s="164"/>
      <c r="M49" s="161"/>
      <c r="N49" s="148"/>
      <c r="O49" s="140"/>
      <c r="P49" s="139"/>
      <c r="Q49" s="133"/>
      <c r="R49" s="131"/>
      <c r="S49" s="130"/>
      <c r="T49" s="129"/>
      <c r="U49" s="128"/>
      <c r="V49" s="126"/>
      <c r="W49" s="125">
        <v>1574296.54</v>
      </c>
      <c r="X49" s="123"/>
      <c r="Y49" s="121"/>
      <c r="Z49" s="111"/>
      <c r="AA49" s="110"/>
      <c r="AB49" s="102"/>
      <c r="AC49" s="92"/>
      <c r="AD49" s="90"/>
      <c r="AE49" s="85"/>
      <c r="AF49" s="85"/>
      <c r="AG49" s="85">
        <v>486178.56</v>
      </c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6">
        <f t="shared" si="7"/>
        <v>2060475.1</v>
      </c>
    </row>
    <row r="50" spans="2:53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1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>
        <v>203564.54</v>
      </c>
      <c r="AA50" s="63">
        <v>576872.26</v>
      </c>
      <c r="AB50" s="63">
        <v>285214.5</v>
      </c>
      <c r="AC50" s="63">
        <f>315810+181982.7+197087.4+1437480+696905.55+4170559.5+380061+266805+2989305+209632.5+976500+364815+306009</f>
        <v>12492952.65</v>
      </c>
      <c r="AD50" s="63"/>
      <c r="AE50" s="63"/>
      <c r="AF50" s="63"/>
      <c r="AG50" s="63">
        <f>90145+1532465+174240+2962080</f>
        <v>4758930</v>
      </c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>
        <f>17251882.65+1065651.3</f>
        <v>18317533.949999999</v>
      </c>
      <c r="AY50" s="64">
        <f t="shared" si="7"/>
        <v>0</v>
      </c>
    </row>
    <row r="51" spans="2:53" ht="31.5" x14ac:dyDescent="0.25">
      <c r="B51" s="176">
        <v>52</v>
      </c>
      <c r="C51" s="66">
        <v>101155</v>
      </c>
      <c r="D51" s="180" t="s">
        <v>113</v>
      </c>
      <c r="E51" s="67" t="s">
        <v>101</v>
      </c>
      <c r="F51" s="177">
        <v>6148995.4800000004</v>
      </c>
      <c r="G51" s="63">
        <f t="shared" si="6"/>
        <v>6001336.6299999999</v>
      </c>
      <c r="H51" s="193"/>
      <c r="I51" s="191"/>
      <c r="J51" s="177"/>
      <c r="K51" s="177"/>
      <c r="L51" s="164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>
        <v>1260000</v>
      </c>
      <c r="X51" s="177">
        <v>688161.6</v>
      </c>
      <c r="Y51" s="177">
        <v>1144310.97</v>
      </c>
      <c r="Z51" s="177"/>
      <c r="AA51" s="177">
        <f>921842.26</f>
        <v>921842.26</v>
      </c>
      <c r="AB51" s="177">
        <f>80803.8+261904.5+173151</f>
        <v>515859.3</v>
      </c>
      <c r="AC51" s="177"/>
      <c r="AD51" s="177"/>
      <c r="AE51" s="177">
        <v>1249387.2</v>
      </c>
      <c r="AF51" s="177">
        <v>221775.3</v>
      </c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8">
        <f t="shared" si="7"/>
        <v>6001336.6299999999</v>
      </c>
    </row>
    <row r="52" spans="2:53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1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>
        <f>4232923.2+1611720+168492.11+1656545.42</f>
        <v>7669680.7300000004</v>
      </c>
      <c r="X52" s="63"/>
      <c r="Y52" s="63">
        <f>4195787.26-2710953.78</f>
        <v>1484833.48</v>
      </c>
      <c r="Z52" s="63">
        <v>2710953.78</v>
      </c>
      <c r="AA52" s="63">
        <v>2710953.78</v>
      </c>
      <c r="AB52" s="63">
        <f>5085951.46+299173.62+60783.63+3575.5+116483.7+6851.98</f>
        <v>5572819.8900000006</v>
      </c>
      <c r="AC52" s="63"/>
      <c r="AD52" s="63"/>
      <c r="AE52" s="63">
        <f>2895199.96+170305.88</f>
        <v>3065505.84</v>
      </c>
      <c r="AF52" s="63">
        <f>499337+29372.7</f>
        <v>528709.69999999995</v>
      </c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>
        <f>3594215.56+20149241.64</f>
        <v>23743457.199999999</v>
      </c>
      <c r="AY52" s="64">
        <f t="shared" si="7"/>
        <v>0</v>
      </c>
    </row>
    <row r="53" spans="2:53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1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>
        <v>17545.14</v>
      </c>
      <c r="Z53" s="63">
        <v>12100</v>
      </c>
      <c r="AA53" s="63">
        <v>1125645.06</v>
      </c>
      <c r="AB53" s="63">
        <v>12100</v>
      </c>
      <c r="AC53" s="63">
        <v>12100</v>
      </c>
      <c r="AD53" s="63"/>
      <c r="AE53" s="63">
        <v>877969.75</v>
      </c>
      <c r="AF53" s="63">
        <v>12100</v>
      </c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>
        <f>943914.89+1105924.62</f>
        <v>2049839.5100000002</v>
      </c>
      <c r="AY53" s="64">
        <f t="shared" si="7"/>
        <v>19720.439999999711</v>
      </c>
      <c r="BA53" s="89"/>
    </row>
    <row r="54" spans="2:53" ht="47.25" x14ac:dyDescent="0.25">
      <c r="B54" s="176">
        <v>52</v>
      </c>
      <c r="C54" s="66">
        <v>101151</v>
      </c>
      <c r="D54" s="180" t="s">
        <v>113</v>
      </c>
      <c r="E54" s="67" t="s">
        <v>100</v>
      </c>
      <c r="F54" s="177">
        <v>8811260.8399999999</v>
      </c>
      <c r="G54" s="63">
        <f t="shared" si="6"/>
        <v>4229684.08</v>
      </c>
      <c r="H54" s="193"/>
      <c r="I54" s="191"/>
      <c r="J54" s="177"/>
      <c r="K54" s="177"/>
      <c r="L54" s="164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>
        <v>43200</v>
      </c>
      <c r="X54" s="177"/>
      <c r="Y54" s="177">
        <f>10890+1352258.13</f>
        <v>1363148.13</v>
      </c>
      <c r="Z54" s="177"/>
      <c r="AA54" s="177">
        <f>21251.84+1073449.08</f>
        <v>1094700.9200000002</v>
      </c>
      <c r="AB54" s="177">
        <f>817442.6+26565.07</f>
        <v>844007.66999999993</v>
      </c>
      <c r="AC54" s="177"/>
      <c r="AD54" s="177">
        <v>863375.53</v>
      </c>
      <c r="AE54" s="177"/>
      <c r="AF54" s="177">
        <v>21251.83</v>
      </c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>
        <v>4229684.08</v>
      </c>
      <c r="AY54" s="178">
        <f t="shared" si="7"/>
        <v>0</v>
      </c>
    </row>
    <row r="55" spans="2:53" ht="15.75" x14ac:dyDescent="0.25">
      <c r="B55" s="176">
        <v>50</v>
      </c>
      <c r="C55" s="66">
        <v>100931</v>
      </c>
      <c r="D55" s="180" t="s">
        <v>113</v>
      </c>
      <c r="E55" s="67" t="s">
        <v>97</v>
      </c>
      <c r="F55" s="177">
        <f>1794250.17+(25.495*1129713.15)</f>
        <v>30596286.929250002</v>
      </c>
      <c r="G55" s="63">
        <f t="shared" si="6"/>
        <v>30596286.93</v>
      </c>
      <c r="H55" s="193"/>
      <c r="I55" s="191"/>
      <c r="J55" s="177"/>
      <c r="K55" s="177"/>
      <c r="L55" s="164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>
        <v>16287677.470000001</v>
      </c>
      <c r="AC55" s="177">
        <v>3854869.33</v>
      </c>
      <c r="AD55" s="177"/>
      <c r="AE55" s="177"/>
      <c r="AF55" s="177">
        <v>10453740.130000001</v>
      </c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>
        <v>30596286.93</v>
      </c>
      <c r="AY55" s="178">
        <f t="shared" si="7"/>
        <v>0</v>
      </c>
    </row>
    <row r="56" spans="2:53" ht="31.5" x14ac:dyDescent="0.25">
      <c r="B56" s="176">
        <v>52</v>
      </c>
      <c r="C56" s="66">
        <v>101133</v>
      </c>
      <c r="D56" s="180" t="s">
        <v>113</v>
      </c>
      <c r="E56" s="67" t="s">
        <v>99</v>
      </c>
      <c r="F56" s="177">
        <v>23562987.300000001</v>
      </c>
      <c r="G56" s="63">
        <f t="shared" si="6"/>
        <v>23239650.780000001</v>
      </c>
      <c r="H56" s="193"/>
      <c r="I56" s="191"/>
      <c r="J56" s="177"/>
      <c r="K56" s="177"/>
      <c r="L56" s="164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>
        <v>2477315.7599999998</v>
      </c>
      <c r="AA56" s="177">
        <f>978424.93+9152922.73</f>
        <v>10131347.66</v>
      </c>
      <c r="AB56" s="177"/>
      <c r="AC56" s="177">
        <v>9405532.6400000006</v>
      </c>
      <c r="AD56" s="177"/>
      <c r="AE56" s="177">
        <v>1225454.72</v>
      </c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>
        <v>23239650.780000001</v>
      </c>
      <c r="AY56" s="178">
        <f t="shared" ref="AY56:AY62" si="8">G56-AX56</f>
        <v>0</v>
      </c>
    </row>
    <row r="57" spans="2:53" ht="31.5" x14ac:dyDescent="0.25">
      <c r="B57" s="176">
        <v>52</v>
      </c>
      <c r="C57" s="66">
        <v>101123</v>
      </c>
      <c r="D57" s="180" t="s">
        <v>113</v>
      </c>
      <c r="E57" s="67" t="s">
        <v>107</v>
      </c>
      <c r="F57" s="177">
        <v>27427807.800000001</v>
      </c>
      <c r="G57" s="63">
        <f t="shared" si="6"/>
        <v>26548295.399999999</v>
      </c>
      <c r="H57" s="193"/>
      <c r="I57" s="191"/>
      <c r="J57" s="177"/>
      <c r="K57" s="177"/>
      <c r="L57" s="164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>
        <v>26548295.399999999</v>
      </c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>
        <v>26548295.399999999</v>
      </c>
      <c r="AY57" s="178">
        <f t="shared" si="8"/>
        <v>0</v>
      </c>
    </row>
    <row r="58" spans="2:53" ht="31.5" x14ac:dyDescent="0.25">
      <c r="B58" s="176">
        <v>59</v>
      </c>
      <c r="C58" s="66">
        <v>101159</v>
      </c>
      <c r="D58" s="180" t="s">
        <v>113</v>
      </c>
      <c r="E58" s="67" t="s">
        <v>108</v>
      </c>
      <c r="F58" s="177">
        <v>7011841.5</v>
      </c>
      <c r="G58" s="63">
        <f t="shared" si="6"/>
        <v>5232409.37</v>
      </c>
      <c r="H58" s="193"/>
      <c r="I58" s="191"/>
      <c r="J58" s="177"/>
      <c r="K58" s="177"/>
      <c r="L58" s="164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>
        <f>3725784.9+433613.66</f>
        <v>4159398.56</v>
      </c>
      <c r="AC58" s="177">
        <f>121423.5+897059.01</f>
        <v>1018482.51</v>
      </c>
      <c r="AD58" s="177">
        <f>3029.35+51498.95</f>
        <v>54528.299999999996</v>
      </c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>
        <f>951587.31+134128.26+4146693.8</f>
        <v>5232409.37</v>
      </c>
      <c r="AY58" s="178">
        <f t="shared" si="8"/>
        <v>0</v>
      </c>
    </row>
    <row r="59" spans="2:53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1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>
        <v>504807.3</v>
      </c>
      <c r="X59" s="63"/>
      <c r="Y59" s="63"/>
      <c r="Z59" s="63"/>
      <c r="AA59" s="63">
        <v>41382</v>
      </c>
      <c r="AB59" s="63">
        <v>2318007.5099999998</v>
      </c>
      <c r="AC59" s="63"/>
      <c r="AD59" s="63">
        <v>41382</v>
      </c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>
        <f>2564326.5+341252.31</f>
        <v>2905578.81</v>
      </c>
      <c r="AY59" s="64">
        <f t="shared" si="8"/>
        <v>0</v>
      </c>
    </row>
    <row r="60" spans="2:53" ht="63.75" thickBot="1" x14ac:dyDescent="0.3">
      <c r="B60" s="70">
        <v>19</v>
      </c>
      <c r="C60" s="71">
        <v>1127</v>
      </c>
      <c r="D60" s="183" t="s">
        <v>129</v>
      </c>
      <c r="E60" s="72" t="s">
        <v>106</v>
      </c>
      <c r="F60" s="73">
        <v>6813999</v>
      </c>
      <c r="G60" s="73">
        <f>SUM(H60:AW60)</f>
        <v>6292531.4000000004</v>
      </c>
      <c r="H60" s="73"/>
      <c r="I60" s="73"/>
      <c r="J60" s="73"/>
      <c r="K60" s="73"/>
      <c r="L60" s="165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>
        <v>3071578.5</v>
      </c>
      <c r="Y60" s="73"/>
      <c r="Z60" s="73"/>
      <c r="AA60" s="73"/>
      <c r="AB60" s="73">
        <v>1719788</v>
      </c>
      <c r="AC60" s="73"/>
      <c r="AD60" s="73">
        <v>1501164.9</v>
      </c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>
        <v>6292531.4000000004</v>
      </c>
      <c r="AY60" s="74">
        <f t="shared" si="8"/>
        <v>0</v>
      </c>
    </row>
    <row r="61" spans="2:53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9">
        <f>SUM(H61:AW61)</f>
        <v>3115016.85</v>
      </c>
      <c r="H61" s="194"/>
      <c r="I61" s="192"/>
      <c r="J61" s="78"/>
      <c r="K61" s="78"/>
      <c r="L61" s="182"/>
      <c r="M61" s="78">
        <f>1512+101813.79</f>
        <v>103325.79</v>
      </c>
      <c r="N61" s="78"/>
      <c r="O61" s="78">
        <v>2268</v>
      </c>
      <c r="P61" s="78">
        <f>2268+528701.04</f>
        <v>530969.04</v>
      </c>
      <c r="Q61" s="78">
        <v>309309.42</v>
      </c>
      <c r="R61" s="78"/>
      <c r="S61" s="78">
        <f>1014417.6+2268</f>
        <v>1016685.6</v>
      </c>
      <c r="T61" s="78">
        <v>2268</v>
      </c>
      <c r="U61" s="78"/>
      <c r="V61" s="78">
        <f>1115499+2268</f>
        <v>1117767</v>
      </c>
      <c r="W61" s="78">
        <v>9324</v>
      </c>
      <c r="X61" s="78"/>
      <c r="Y61" s="78"/>
      <c r="Z61" s="78"/>
      <c r="AA61" s="78"/>
      <c r="AB61" s="78"/>
      <c r="AC61" s="78">
        <v>23100</v>
      </c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9">
        <f t="shared" si="8"/>
        <v>3115016.85</v>
      </c>
    </row>
    <row r="62" spans="2:53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SUM(H62:AW62)</f>
        <v>4262722.2</v>
      </c>
      <c r="H62" s="193"/>
      <c r="I62" s="191"/>
      <c r="J62" s="174"/>
      <c r="K62" s="169"/>
      <c r="L62" s="164"/>
      <c r="M62" s="161"/>
      <c r="N62" s="148"/>
      <c r="O62" s="140"/>
      <c r="P62" s="138"/>
      <c r="Q62" s="133"/>
      <c r="R62" s="131"/>
      <c r="S62" s="130"/>
      <c r="T62" s="129"/>
      <c r="U62" s="128"/>
      <c r="V62" s="126"/>
      <c r="W62" s="125"/>
      <c r="X62" s="123"/>
      <c r="Y62" s="121"/>
      <c r="Z62" s="111"/>
      <c r="AA62" s="110"/>
      <c r="AB62" s="104"/>
      <c r="AC62" s="104">
        <f>555390+3707332.2</f>
        <v>4262722.2</v>
      </c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>
        <v>4262722.2</v>
      </c>
      <c r="AY62" s="91">
        <f t="shared" si="8"/>
        <v>0</v>
      </c>
    </row>
    <row r="63" spans="2:53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6" si="9">SUM(H63:AW63)</f>
        <v>6053436.120000001</v>
      </c>
      <c r="H63" s="193"/>
      <c r="I63" s="191"/>
      <c r="J63" s="174"/>
      <c r="K63" s="169"/>
      <c r="L63" s="164"/>
      <c r="M63" s="161"/>
      <c r="N63" s="148"/>
      <c r="O63" s="140"/>
      <c r="P63" s="138"/>
      <c r="Q63" s="133"/>
      <c r="R63" s="131"/>
      <c r="S63" s="130"/>
      <c r="T63" s="129"/>
      <c r="U63" s="128">
        <f>283857.3+233146.8+365313.53+420192.51</f>
        <v>1302510.1400000001</v>
      </c>
      <c r="V63" s="126"/>
      <c r="W63" s="125">
        <f>44226+44787.6+1413291.11+130510.05</f>
        <v>1632814.7600000002</v>
      </c>
      <c r="X63" s="123">
        <v>1171868.3999999999</v>
      </c>
      <c r="Y63" s="121">
        <f>1259933.54+74052+139936.5+153298.8</f>
        <v>1627220.84</v>
      </c>
      <c r="Z63" s="111"/>
      <c r="AA63" s="110">
        <f>267227.13+51794.85</f>
        <v>319021.98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>
        <v>6053436.1200000001</v>
      </c>
      <c r="AY63" s="103">
        <f>G63-AX63</f>
        <v>0</v>
      </c>
    </row>
    <row r="64" spans="2:53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1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>
        <v>1810574.5</v>
      </c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>
        <f>1810574.3+0.2</f>
        <v>1810574.5</v>
      </c>
      <c r="AY64" s="64">
        <f>G64-AX64</f>
        <v>0</v>
      </c>
    </row>
    <row r="65" spans="2:51" ht="47.25" x14ac:dyDescent="0.25">
      <c r="B65" s="60">
        <v>52</v>
      </c>
      <c r="C65" s="61">
        <v>101217</v>
      </c>
      <c r="D65" s="95" t="s">
        <v>113</v>
      </c>
      <c r="E65" s="62" t="s">
        <v>134</v>
      </c>
      <c r="F65" s="63">
        <v>2854682.6</v>
      </c>
      <c r="G65" s="63">
        <f t="shared" si="9"/>
        <v>2381707.58</v>
      </c>
      <c r="H65" s="63">
        <v>5610.52</v>
      </c>
      <c r="I65" s="63">
        <f>123043.99+11770.8</f>
        <v>134814.79</v>
      </c>
      <c r="J65" s="63">
        <f>5610.52+2216284.41</f>
        <v>2221894.9300000002</v>
      </c>
      <c r="K65" s="63"/>
      <c r="L65" s="1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>
        <v>19387.34</v>
      </c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4">
        <f t="shared" ref="AY65:AY77" si="10">G65-AX65</f>
        <v>2381707.58</v>
      </c>
    </row>
    <row r="66" spans="2:51" ht="47.25" x14ac:dyDescent="0.25">
      <c r="B66" s="114">
        <v>52</v>
      </c>
      <c r="C66" s="66">
        <v>101317</v>
      </c>
      <c r="D66" s="115" t="s">
        <v>113</v>
      </c>
      <c r="E66" s="67" t="s">
        <v>135</v>
      </c>
      <c r="F66" s="113">
        <v>2503081.2000000002</v>
      </c>
      <c r="G66" s="63">
        <f t="shared" si="9"/>
        <v>1003696.9</v>
      </c>
      <c r="H66" s="193">
        <v>3225.39</v>
      </c>
      <c r="I66" s="191">
        <f>979337.57+5251.4</f>
        <v>984588.97</v>
      </c>
      <c r="J66" s="174">
        <v>3225.39</v>
      </c>
      <c r="K66" s="169"/>
      <c r="L66" s="164"/>
      <c r="M66" s="161"/>
      <c r="N66" s="148"/>
      <c r="O66" s="140"/>
      <c r="P66" s="138"/>
      <c r="Q66" s="133"/>
      <c r="R66" s="131"/>
      <c r="S66" s="130"/>
      <c r="T66" s="129"/>
      <c r="U66" s="128"/>
      <c r="V66" s="126"/>
      <c r="W66" s="125"/>
      <c r="X66" s="123"/>
      <c r="Y66" s="121"/>
      <c r="Z66" s="113">
        <v>12657.15</v>
      </c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2">
        <f t="shared" si="10"/>
        <v>1003696.9</v>
      </c>
    </row>
    <row r="67" spans="2:51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193"/>
      <c r="I67" s="191"/>
      <c r="J67" s="174"/>
      <c r="K67" s="169"/>
      <c r="L67" s="164"/>
      <c r="M67" s="161"/>
      <c r="N67" s="148"/>
      <c r="O67" s="140"/>
      <c r="P67" s="138"/>
      <c r="Q67" s="133"/>
      <c r="R67" s="131"/>
      <c r="S67" s="130"/>
      <c r="T67" s="129"/>
      <c r="U67" s="128"/>
      <c r="V67" s="126"/>
      <c r="W67" s="125"/>
      <c r="X67" s="123"/>
      <c r="Y67" s="121">
        <v>2176911</v>
      </c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>
        <v>2176911</v>
      </c>
      <c r="AY67" s="112">
        <f t="shared" si="10"/>
        <v>0</v>
      </c>
    </row>
    <row r="68" spans="2:51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163"/>
      <c r="M68" s="63"/>
      <c r="N68" s="63"/>
      <c r="O68" s="63"/>
      <c r="P68" s="63"/>
      <c r="Q68" s="133"/>
      <c r="R68" s="131"/>
      <c r="S68" s="130"/>
      <c r="T68" s="129"/>
      <c r="U68" s="128"/>
      <c r="V68" s="126"/>
      <c r="W68" s="125"/>
      <c r="X68" s="123"/>
      <c r="Y68" s="135">
        <v>2335150.96</v>
      </c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>
        <v>2335150.96</v>
      </c>
      <c r="AY68" s="119">
        <f t="shared" si="10"/>
        <v>0</v>
      </c>
    </row>
    <row r="69" spans="2:51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193"/>
      <c r="I69" s="191"/>
      <c r="J69" s="174"/>
      <c r="K69" s="169">
        <f>1797939+1135444.76</f>
        <v>2933383.76</v>
      </c>
      <c r="L69" s="164"/>
      <c r="M69" s="161"/>
      <c r="N69" s="148"/>
      <c r="O69" s="140"/>
      <c r="P69" s="142"/>
      <c r="Q69" s="147">
        <v>2300265.36</v>
      </c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36">
        <f t="shared" si="10"/>
        <v>5233649.1199999992</v>
      </c>
    </row>
    <row r="70" spans="2:51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2125238.7600000002</v>
      </c>
      <c r="H70" s="193">
        <v>10890</v>
      </c>
      <c r="I70" s="191"/>
      <c r="J70" s="174">
        <v>1464519.3</v>
      </c>
      <c r="K70" s="169">
        <v>384514.52</v>
      </c>
      <c r="L70" s="164"/>
      <c r="M70" s="161">
        <v>19239</v>
      </c>
      <c r="N70" s="153">
        <v>227199.94</v>
      </c>
      <c r="O70" s="150">
        <v>18876</v>
      </c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>
        <v>900299.45</v>
      </c>
      <c r="AY70" s="141">
        <f t="shared" si="10"/>
        <v>1224939.3100000003</v>
      </c>
    </row>
    <row r="71" spans="2:51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4006175.5599999996</v>
      </c>
      <c r="H71" s="193"/>
      <c r="I71" s="191"/>
      <c r="J71" s="174">
        <v>1933666.78</v>
      </c>
      <c r="K71" s="169"/>
      <c r="L71" s="164"/>
      <c r="M71" s="161">
        <v>1301509.56</v>
      </c>
      <c r="N71" s="153">
        <v>770999.22</v>
      </c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>
        <v>2179923.09</v>
      </c>
      <c r="AY71" s="151">
        <f t="shared" si="10"/>
        <v>1826252.4699999997</v>
      </c>
    </row>
    <row r="72" spans="2:51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9"/>
        <v>82015262.350000009</v>
      </c>
      <c r="H72" s="193"/>
      <c r="I72" s="191">
        <f>73507.5+17249.76+26315683.85</f>
        <v>26406441.110000003</v>
      </c>
      <c r="J72" s="174">
        <f>73507.5+15333.12+20771344.04</f>
        <v>20860184.66</v>
      </c>
      <c r="K72" s="169">
        <v>20355811.93</v>
      </c>
      <c r="L72" s="167">
        <f>17249.76+73507.5</f>
        <v>90757.26</v>
      </c>
      <c r="M72" s="161"/>
      <c r="N72" s="156">
        <f>19471.32+73507.5+14209088.57</f>
        <v>14302067.390000001</v>
      </c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1">
        <f t="shared" si="10"/>
        <v>82015262.350000009</v>
      </c>
    </row>
    <row r="73" spans="2:51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9"/>
        <v>2504032.6500000004</v>
      </c>
      <c r="H73" s="193">
        <v>768338.42</v>
      </c>
      <c r="I73" s="191"/>
      <c r="J73" s="174">
        <f>15272.56+382021.68</f>
        <v>397294.24</v>
      </c>
      <c r="K73" s="168"/>
      <c r="L73" s="162"/>
      <c r="M73" s="161">
        <v>1338399.99</v>
      </c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5">
        <f t="shared" si="10"/>
        <v>2504032.6500000004</v>
      </c>
    </row>
    <row r="74" spans="2:51" ht="15.75" x14ac:dyDescent="0.25">
      <c r="B74" s="173">
        <v>52</v>
      </c>
      <c r="C74" s="66">
        <v>101178</v>
      </c>
      <c r="D74" s="170" t="s">
        <v>113</v>
      </c>
      <c r="E74" s="67" t="s">
        <v>156</v>
      </c>
      <c r="F74" s="172">
        <v>60720487.200000003</v>
      </c>
      <c r="G74" s="63">
        <f t="shared" si="9"/>
        <v>4275</v>
      </c>
      <c r="H74" s="63"/>
      <c r="I74" s="191"/>
      <c r="J74" s="174"/>
      <c r="K74" s="172"/>
      <c r="L74" s="172"/>
      <c r="M74" s="172">
        <v>4275</v>
      </c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1">
        <f t="shared" si="10"/>
        <v>4275</v>
      </c>
    </row>
    <row r="75" spans="2:51" ht="47.25" x14ac:dyDescent="0.25">
      <c r="B75" s="143">
        <v>52</v>
      </c>
      <c r="C75" s="144">
        <v>101318</v>
      </c>
      <c r="D75" s="145" t="s">
        <v>113</v>
      </c>
      <c r="E75" s="146" t="s">
        <v>161</v>
      </c>
      <c r="F75" s="147">
        <v>1052156.7</v>
      </c>
      <c r="G75" s="63">
        <f t="shared" si="9"/>
        <v>991628.66999999993</v>
      </c>
      <c r="H75" s="194"/>
      <c r="I75" s="192"/>
      <c r="J75" s="147">
        <f>3308.47+988320.2</f>
        <v>991628.66999999993</v>
      </c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71">
        <f t="shared" si="10"/>
        <v>991628.66999999993</v>
      </c>
    </row>
    <row r="76" spans="2:51" ht="47.25" x14ac:dyDescent="0.25">
      <c r="B76" s="176">
        <v>52</v>
      </c>
      <c r="C76" s="66">
        <v>101056</v>
      </c>
      <c r="D76" s="180" t="s">
        <v>113</v>
      </c>
      <c r="E76" s="67" t="s">
        <v>162</v>
      </c>
      <c r="F76" s="177">
        <v>2728850</v>
      </c>
      <c r="G76" s="63">
        <f t="shared" si="9"/>
        <v>1442674.55</v>
      </c>
      <c r="H76" s="193"/>
      <c r="I76" s="191">
        <v>794637.15</v>
      </c>
      <c r="J76" s="177">
        <v>648037.4</v>
      </c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8">
        <f>G76-AX76</f>
        <v>1442674.55</v>
      </c>
    </row>
    <row r="77" spans="2:51" ht="15.75" x14ac:dyDescent="0.25">
      <c r="B77" s="225">
        <v>52</v>
      </c>
      <c r="C77" s="66">
        <v>101178</v>
      </c>
      <c r="D77" s="208" t="s">
        <v>113</v>
      </c>
      <c r="E77" s="223" t="s">
        <v>156</v>
      </c>
      <c r="F77" s="216">
        <v>60720487.200000003</v>
      </c>
      <c r="G77" s="216">
        <f>SUM(H77:J80)</f>
        <v>2375344.2799999998</v>
      </c>
      <c r="H77" s="63"/>
      <c r="I77" s="63">
        <v>54854.77</v>
      </c>
      <c r="J77" s="177">
        <v>176097.7</v>
      </c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235"/>
      <c r="AY77" s="214">
        <f t="shared" si="10"/>
        <v>2375344.2799999998</v>
      </c>
    </row>
    <row r="78" spans="2:51" ht="15.75" x14ac:dyDescent="0.25">
      <c r="B78" s="238"/>
      <c r="C78" s="61">
        <v>101338</v>
      </c>
      <c r="D78" s="239"/>
      <c r="E78" s="240"/>
      <c r="F78" s="234"/>
      <c r="G78" s="234"/>
      <c r="H78" s="63"/>
      <c r="I78" s="63">
        <v>158745.67000000001</v>
      </c>
      <c r="J78" s="63">
        <v>417284.3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236"/>
      <c r="AY78" s="237"/>
    </row>
    <row r="79" spans="2:51" ht="15.75" x14ac:dyDescent="0.25">
      <c r="B79" s="238"/>
      <c r="C79" s="61">
        <v>101339</v>
      </c>
      <c r="D79" s="239"/>
      <c r="E79" s="240"/>
      <c r="F79" s="234"/>
      <c r="G79" s="234"/>
      <c r="H79" s="63"/>
      <c r="I79" s="63">
        <v>306816.17</v>
      </c>
      <c r="J79" s="63">
        <v>454294.7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236"/>
      <c r="AY79" s="237"/>
    </row>
    <row r="80" spans="2:51" ht="15.75" x14ac:dyDescent="0.25">
      <c r="B80" s="238"/>
      <c r="C80" s="66">
        <v>101340</v>
      </c>
      <c r="D80" s="239"/>
      <c r="E80" s="240"/>
      <c r="F80" s="234"/>
      <c r="G80" s="234"/>
      <c r="H80" s="63"/>
      <c r="I80" s="63">
        <v>680648.55</v>
      </c>
      <c r="J80" s="184">
        <v>126602.42</v>
      </c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36"/>
      <c r="AY80" s="237"/>
    </row>
    <row r="81" spans="2:51" ht="47.25" x14ac:dyDescent="0.25">
      <c r="B81" s="189">
        <v>52</v>
      </c>
      <c r="C81" s="66">
        <v>101319</v>
      </c>
      <c r="D81" s="185" t="s">
        <v>113</v>
      </c>
      <c r="E81" s="188" t="s">
        <v>166</v>
      </c>
      <c r="F81" s="187">
        <v>945361.98</v>
      </c>
      <c r="G81" s="187">
        <f>SUM(H81:AW81)</f>
        <v>916119.9</v>
      </c>
      <c r="H81" s="193"/>
      <c r="I81" s="191">
        <f>911552.6</f>
        <v>911552.6</v>
      </c>
      <c r="J81" s="187">
        <v>4567.3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90"/>
      <c r="AY81" s="186">
        <f>G81-AX81</f>
        <v>916119.9</v>
      </c>
    </row>
    <row r="82" spans="2:51" ht="47.25" x14ac:dyDescent="0.25">
      <c r="B82" s="199">
        <v>52</v>
      </c>
      <c r="C82" s="66">
        <v>101254</v>
      </c>
      <c r="D82" s="195" t="s">
        <v>113</v>
      </c>
      <c r="E82" s="198" t="s">
        <v>165</v>
      </c>
      <c r="F82" s="197">
        <v>1248879.8</v>
      </c>
      <c r="G82" s="197">
        <f>SUM(H82:AW82)</f>
        <v>74345.710000000006</v>
      </c>
      <c r="H82" s="197"/>
      <c r="I82" s="197">
        <v>74345.710000000006</v>
      </c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200"/>
      <c r="AY82" s="196">
        <f>G82-AX82</f>
        <v>74345.710000000006</v>
      </c>
    </row>
    <row r="83" spans="2:51" ht="16.5" thickBot="1" x14ac:dyDescent="0.3">
      <c r="B83" s="201">
        <v>50</v>
      </c>
      <c r="C83" s="202">
        <v>100040</v>
      </c>
      <c r="D83" s="203" t="s">
        <v>113</v>
      </c>
      <c r="E83" s="204" t="s">
        <v>168</v>
      </c>
      <c r="F83" s="205">
        <v>269182904.94</v>
      </c>
      <c r="G83" s="205">
        <f>SUM(H83:AW83)</f>
        <v>4082574.24</v>
      </c>
      <c r="H83" s="205">
        <v>4082574.24</v>
      </c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6"/>
      <c r="AY83" s="207">
        <f>G83-AX83</f>
        <v>4082574.24</v>
      </c>
    </row>
    <row r="84" spans="2:51" ht="20.100000000000001" customHeight="1" thickTop="1" thickBot="1" x14ac:dyDescent="0.3">
      <c r="B84" s="80"/>
      <c r="C84" s="81"/>
      <c r="D84" s="81"/>
      <c r="E84" s="81"/>
      <c r="F84" s="82">
        <f>SUM(F4:F83)</f>
        <v>1983940431.2992501</v>
      </c>
      <c r="G84" s="82">
        <f>SUM(G4:G83)</f>
        <v>1125108770.8399999</v>
      </c>
      <c r="H84" s="82">
        <f>SUM(H4:H83)</f>
        <v>4899867.4000000004</v>
      </c>
      <c r="I84" s="82">
        <f t="shared" ref="I84:AW84" si="11">SUM(I4:I83)</f>
        <v>46791873.650000006</v>
      </c>
      <c r="J84" s="82">
        <f t="shared" si="11"/>
        <v>48138977.750000007</v>
      </c>
      <c r="K84" s="82">
        <f t="shared" si="11"/>
        <v>25980798.359999999</v>
      </c>
      <c r="L84" s="82">
        <f t="shared" si="11"/>
        <v>10192335.470000001</v>
      </c>
      <c r="M84" s="82">
        <f t="shared" si="11"/>
        <v>5209739.04</v>
      </c>
      <c r="N84" s="82">
        <f t="shared" si="11"/>
        <v>28560970.490000002</v>
      </c>
      <c r="O84" s="82">
        <f t="shared" si="11"/>
        <v>6247365.0300000003</v>
      </c>
      <c r="P84" s="82">
        <f t="shared" si="11"/>
        <v>6180312.4100000001</v>
      </c>
      <c r="Q84" s="82">
        <f t="shared" si="11"/>
        <v>4417253.9800000004</v>
      </c>
      <c r="R84" s="82">
        <f t="shared" si="11"/>
        <v>9966681.7200000007</v>
      </c>
      <c r="S84" s="82">
        <f t="shared" si="11"/>
        <v>9698266.3599999994</v>
      </c>
      <c r="T84" s="82">
        <f t="shared" si="11"/>
        <v>8594659.75</v>
      </c>
      <c r="U84" s="82">
        <f t="shared" si="11"/>
        <v>1304905.9400000002</v>
      </c>
      <c r="V84" s="82">
        <f t="shared" si="11"/>
        <v>10914675.17</v>
      </c>
      <c r="W84" s="82">
        <f t="shared" si="11"/>
        <v>29312816.630000006</v>
      </c>
      <c r="X84" s="82">
        <f t="shared" si="11"/>
        <v>10199294.83</v>
      </c>
      <c r="Y84" s="82">
        <f t="shared" si="11"/>
        <v>43250051.13000001</v>
      </c>
      <c r="Z84" s="82">
        <f t="shared" si="11"/>
        <v>19218115.23</v>
      </c>
      <c r="AA84" s="82">
        <f t="shared" si="11"/>
        <v>47037920.500000007</v>
      </c>
      <c r="AB84" s="82">
        <f t="shared" si="11"/>
        <v>54193399.359999999</v>
      </c>
      <c r="AC84" s="82">
        <f t="shared" si="11"/>
        <v>73354204.99000001</v>
      </c>
      <c r="AD84" s="82">
        <f t="shared" si="11"/>
        <v>34276098.340000004</v>
      </c>
      <c r="AE84" s="82">
        <f t="shared" si="11"/>
        <v>33723490.390000001</v>
      </c>
      <c r="AF84" s="82">
        <f t="shared" si="11"/>
        <v>34962249.579999998</v>
      </c>
      <c r="AG84" s="82">
        <f t="shared" si="11"/>
        <v>68195259.400000006</v>
      </c>
      <c r="AH84" s="82">
        <f t="shared" si="11"/>
        <v>19919223.909999996</v>
      </c>
      <c r="AI84" s="82">
        <f t="shared" si="11"/>
        <v>53366828.850000001</v>
      </c>
      <c r="AJ84" s="82">
        <f t="shared" si="11"/>
        <v>25764997.969999999</v>
      </c>
      <c r="AK84" s="82">
        <f t="shared" si="11"/>
        <v>56876644.520000003</v>
      </c>
      <c r="AL84" s="82">
        <f t="shared" si="11"/>
        <v>55694756.119999997</v>
      </c>
      <c r="AM84" s="82">
        <f t="shared" si="11"/>
        <v>3693296.3600000003</v>
      </c>
      <c r="AN84" s="82">
        <f t="shared" si="11"/>
        <v>894272.2</v>
      </c>
      <c r="AO84" s="82">
        <f t="shared" si="11"/>
        <v>17376.990000000002</v>
      </c>
      <c r="AP84" s="82">
        <f t="shared" si="11"/>
        <v>16414704.029999999</v>
      </c>
      <c r="AQ84" s="82">
        <f t="shared" si="11"/>
        <v>3244919.44</v>
      </c>
      <c r="AR84" s="82">
        <f t="shared" si="11"/>
        <v>30566884.609999999</v>
      </c>
      <c r="AS84" s="82">
        <f t="shared" si="11"/>
        <v>18250721.109999999</v>
      </c>
      <c r="AT84" s="82">
        <f t="shared" si="11"/>
        <v>19474817.859999999</v>
      </c>
      <c r="AU84" s="82">
        <f t="shared" si="11"/>
        <v>59854153.43</v>
      </c>
      <c r="AV84" s="82">
        <f t="shared" si="11"/>
        <v>37393590.539999999</v>
      </c>
      <c r="AW84" s="82">
        <f t="shared" si="11"/>
        <v>48860000</v>
      </c>
      <c r="AX84" s="82">
        <f>SUM(AX4:AX83)</f>
        <v>891073807.13999999</v>
      </c>
      <c r="AY84" s="120">
        <f>SUM(AY4:AY83)</f>
        <v>234034963.70000002</v>
      </c>
    </row>
    <row r="85" spans="2:51" ht="24.75" customHeight="1" thickTop="1" thickBot="1" x14ac:dyDescent="0.3">
      <c r="B85" s="220" t="s">
        <v>40</v>
      </c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83">
        <f>600000000-AY84</f>
        <v>365965036.29999995</v>
      </c>
    </row>
    <row r="86" spans="2:51" ht="15.75" thickTop="1" x14ac:dyDescent="0.25"/>
    <row r="87" spans="2:51" x14ac:dyDescent="0.25">
      <c r="AX87" s="89"/>
    </row>
    <row r="88" spans="2:51" x14ac:dyDescent="0.25"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</row>
  </sheetData>
  <mergeCells count="66">
    <mergeCell ref="F77:F80"/>
    <mergeCell ref="G77:G80"/>
    <mergeCell ref="AX77:AX80"/>
    <mergeCell ref="AY77:AY80"/>
    <mergeCell ref="B77:B80"/>
    <mergeCell ref="D77:D80"/>
    <mergeCell ref="E77:E80"/>
    <mergeCell ref="B2:B3"/>
    <mergeCell ref="F2:F3"/>
    <mergeCell ref="AT2:AT3"/>
    <mergeCell ref="AU2:AU3"/>
    <mergeCell ref="AV2:AV3"/>
    <mergeCell ref="AS2:AS3"/>
    <mergeCell ref="AR2:AR3"/>
    <mergeCell ref="AB2:AB3"/>
    <mergeCell ref="D2:D3"/>
    <mergeCell ref="P2:P3"/>
    <mergeCell ref="M2:M3"/>
    <mergeCell ref="L2:L3"/>
    <mergeCell ref="J2:J3"/>
    <mergeCell ref="I2:I3"/>
    <mergeCell ref="H2:H3"/>
    <mergeCell ref="B85:AX85"/>
    <mergeCell ref="B1:F1"/>
    <mergeCell ref="AX2:AX3"/>
    <mergeCell ref="V2:V3"/>
    <mergeCell ref="U2:U3"/>
    <mergeCell ref="AI2:AI3"/>
    <mergeCell ref="R2:R3"/>
    <mergeCell ref="S2:S3"/>
    <mergeCell ref="AD2:AD3"/>
    <mergeCell ref="E40:E41"/>
    <mergeCell ref="B40:B41"/>
    <mergeCell ref="F40:F41"/>
    <mergeCell ref="G40:G41"/>
    <mergeCell ref="AC2:AC3"/>
    <mergeCell ref="G2:G3"/>
    <mergeCell ref="C2:C3"/>
    <mergeCell ref="AY40:AY41"/>
    <mergeCell ref="AE2:AE3"/>
    <mergeCell ref="AF2:AF3"/>
    <mergeCell ref="AG2:AG3"/>
    <mergeCell ref="AH2:AH3"/>
    <mergeCell ref="AJ2:AJ3"/>
    <mergeCell ref="AO2:AO3"/>
    <mergeCell ref="AK2:AK3"/>
    <mergeCell ref="AQ2:AQ3"/>
    <mergeCell ref="AP2:AP3"/>
    <mergeCell ref="AN2:AN3"/>
    <mergeCell ref="AL2:AL3"/>
    <mergeCell ref="AM2:AM3"/>
    <mergeCell ref="AX40:AX41"/>
    <mergeCell ref="AY2:AY3"/>
    <mergeCell ref="AW2:AW3"/>
    <mergeCell ref="D40:D41"/>
    <mergeCell ref="AA2:AA3"/>
    <mergeCell ref="Z2:Z3"/>
    <mergeCell ref="Y2:Y3"/>
    <mergeCell ref="X2:X3"/>
    <mergeCell ref="W2:W3"/>
    <mergeCell ref="T2:T3"/>
    <mergeCell ref="E2:E3"/>
    <mergeCell ref="Q2:Q3"/>
    <mergeCell ref="O2:O3"/>
    <mergeCell ref="N2:N3"/>
    <mergeCell ref="K2:K3"/>
  </mergeCells>
  <pageMargins left="0.70866141732283472" right="0.70866141732283472" top="0.39370078740157483" bottom="0.78740157480314965" header="0.31496062992125984" footer="0.31496062992125984"/>
  <pageSetup paperSize="9" scale="52" firstPageNumber="4" fitToHeight="0" orientation="landscape" useFirstPageNumber="1" r:id="rId1"/>
  <headerFooter>
    <oddFooter>&amp;LZastupitelstvo Olomouckého kraje 23. 09. 2019
6.3.1. - Rozpočet Olomouckého kraje 2019 - čerpání revolvingového úvěru KB - DODATEK
Příloha č. 2 - přehled revolvingového úvěru&amp;RStrana &amp;P (celkem 6)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58" t="s">
        <v>25</v>
      </c>
      <c r="B1" s="258"/>
      <c r="C1" s="258"/>
      <c r="D1" s="258"/>
      <c r="E1" s="258"/>
      <c r="F1" s="258"/>
      <c r="G1" s="25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41" t="s">
        <v>0</v>
      </c>
      <c r="B4" s="243" t="s">
        <v>5</v>
      </c>
      <c r="C4" s="243" t="s">
        <v>6</v>
      </c>
      <c r="D4" s="245" t="s">
        <v>10</v>
      </c>
      <c r="E4" s="245" t="s">
        <v>1</v>
      </c>
      <c r="F4" s="253" t="s">
        <v>4</v>
      </c>
      <c r="G4" s="245" t="s">
        <v>7</v>
      </c>
      <c r="H4" s="249" t="s">
        <v>3</v>
      </c>
      <c r="I4" s="245" t="s">
        <v>9</v>
      </c>
      <c r="J4" s="245" t="s">
        <v>12</v>
      </c>
      <c r="K4" s="245" t="s">
        <v>8</v>
      </c>
      <c r="L4" s="251" t="s">
        <v>13</v>
      </c>
      <c r="M4" s="247" t="s">
        <v>14</v>
      </c>
    </row>
    <row r="5" spans="1:13" ht="39" customHeight="1" thickBot="1" x14ac:dyDescent="0.25">
      <c r="A5" s="242"/>
      <c r="B5" s="244"/>
      <c r="C5" s="244"/>
      <c r="D5" s="246"/>
      <c r="E5" s="246"/>
      <c r="F5" s="254"/>
      <c r="G5" s="246"/>
      <c r="H5" s="250"/>
      <c r="I5" s="246"/>
      <c r="J5" s="246"/>
      <c r="K5" s="246"/>
      <c r="L5" s="252"/>
      <c r="M5" s="24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55" t="s">
        <v>2</v>
      </c>
      <c r="B11" s="256"/>
      <c r="C11" s="256"/>
      <c r="D11" s="256"/>
      <c r="E11" s="25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41" t="s">
        <v>0</v>
      </c>
      <c r="B13" s="243" t="s">
        <v>5</v>
      </c>
      <c r="C13" s="243" t="s">
        <v>6</v>
      </c>
      <c r="D13" s="245" t="s">
        <v>10</v>
      </c>
      <c r="E13" s="245" t="s">
        <v>1</v>
      </c>
      <c r="F13" s="253" t="s">
        <v>4</v>
      </c>
      <c r="G13" s="245" t="s">
        <v>7</v>
      </c>
      <c r="H13" s="249" t="s">
        <v>3</v>
      </c>
      <c r="I13" s="245" t="s">
        <v>9</v>
      </c>
      <c r="J13" s="245" t="s">
        <v>12</v>
      </c>
      <c r="K13" s="245" t="s">
        <v>8</v>
      </c>
      <c r="L13" s="251" t="s">
        <v>13</v>
      </c>
      <c r="M13" s="247" t="s">
        <v>14</v>
      </c>
    </row>
    <row r="14" spans="1:13" ht="39" customHeight="1" thickBot="1" x14ac:dyDescent="0.25">
      <c r="A14" s="242"/>
      <c r="B14" s="244"/>
      <c r="C14" s="244"/>
      <c r="D14" s="246"/>
      <c r="E14" s="246"/>
      <c r="F14" s="254"/>
      <c r="G14" s="246"/>
      <c r="H14" s="250"/>
      <c r="I14" s="246"/>
      <c r="J14" s="246"/>
      <c r="K14" s="246"/>
      <c r="L14" s="252"/>
      <c r="M14" s="24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55" t="s">
        <v>26</v>
      </c>
      <c r="B19" s="256"/>
      <c r="C19" s="256"/>
      <c r="D19" s="256"/>
      <c r="E19" s="25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55" t="s">
        <v>2</v>
      </c>
      <c r="B21" s="256"/>
      <c r="C21" s="256"/>
      <c r="D21" s="256"/>
      <c r="E21" s="25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57"/>
      <c r="L22" s="25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2019-09-16T11:47:54Z</cp:lastPrinted>
  <dcterms:created xsi:type="dcterms:W3CDTF">2013-11-04T07:24:03Z</dcterms:created>
  <dcterms:modified xsi:type="dcterms:W3CDTF">2019-09-16T11:47:56Z</dcterms:modified>
</cp:coreProperties>
</file>