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35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úvěru'!$B$1:$BN$90</definedName>
  </definedNames>
  <calcPr calcId="162913"/>
</workbook>
</file>

<file path=xl/calcChain.xml><?xml version="1.0" encoding="utf-8"?>
<calcChain xmlns="http://schemas.openxmlformats.org/spreadsheetml/2006/main">
  <c r="H88" i="6" l="1"/>
  <c r="H89" i="6" l="1"/>
  <c r="G88" i="6"/>
  <c r="G81" i="6"/>
  <c r="G82" i="6"/>
  <c r="G83" i="6"/>
  <c r="G84" i="6"/>
  <c r="G85" i="6"/>
  <c r="G86" i="6"/>
  <c r="G87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BM15" i="6" l="1"/>
  <c r="BM24" i="6"/>
  <c r="I89" i="6" l="1"/>
  <c r="I88" i="6" l="1"/>
  <c r="I72" i="6" l="1"/>
  <c r="I77" i="6" l="1"/>
  <c r="I76" i="6"/>
  <c r="I27" i="6" l="1"/>
  <c r="J85" i="6" l="1"/>
  <c r="J89" i="6" l="1"/>
  <c r="K89" i="6" l="1"/>
  <c r="BM89" i="6" l="1"/>
  <c r="L89" i="6"/>
  <c r="G89" i="6"/>
  <c r="F89" i="6"/>
  <c r="BN87" i="6" l="1"/>
  <c r="G92" i="6"/>
  <c r="BN88" i="6" l="1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AP89" i="6"/>
  <c r="AQ89" i="6"/>
  <c r="AR89" i="6"/>
  <c r="AS89" i="6"/>
  <c r="AT89" i="6"/>
  <c r="AU89" i="6"/>
  <c r="AV89" i="6"/>
  <c r="AW89" i="6"/>
  <c r="AX89" i="6"/>
  <c r="AY89" i="6"/>
  <c r="AZ89" i="6"/>
  <c r="BA89" i="6"/>
  <c r="BB89" i="6"/>
  <c r="BC89" i="6"/>
  <c r="BD89" i="6"/>
  <c r="BE89" i="6"/>
  <c r="BF89" i="6"/>
  <c r="BG89" i="6"/>
  <c r="BH89" i="6"/>
  <c r="BI89" i="6"/>
  <c r="BJ89" i="6"/>
  <c r="BK89" i="6"/>
  <c r="BL89" i="6"/>
  <c r="BM23" i="6" l="1"/>
  <c r="BM8" i="6"/>
  <c r="BM73" i="6"/>
  <c r="BM70" i="6" l="1"/>
  <c r="N76" i="6" l="1"/>
  <c r="N77" i="6"/>
  <c r="N78" i="6"/>
  <c r="N79" i="6"/>
  <c r="BN86" i="6" l="1"/>
  <c r="BN40" i="6" l="1"/>
  <c r="O76" i="6" l="1"/>
  <c r="O77" i="6"/>
  <c r="O78" i="6"/>
  <c r="O79" i="6"/>
  <c r="BN85" i="6" l="1"/>
  <c r="O8" i="6" l="1"/>
  <c r="BN84" i="6" l="1"/>
  <c r="BN4" i="6"/>
  <c r="BO89" i="6" l="1"/>
  <c r="P79" i="6" l="1"/>
  <c r="P78" i="6"/>
  <c r="BM20" i="6" l="1"/>
  <c r="BM66" i="6"/>
  <c r="BM28" i="6"/>
  <c r="BM65" i="6"/>
  <c r="Q72" i="6" l="1"/>
  <c r="Q77" i="6" l="1"/>
  <c r="Q76" i="6"/>
  <c r="Q79" i="6"/>
  <c r="Q78" i="6"/>
  <c r="BM53" i="6" l="1"/>
  <c r="BM17" i="6"/>
  <c r="BM16" i="6"/>
  <c r="BM14" i="6"/>
  <c r="BM13" i="6"/>
  <c r="BM9" i="6"/>
  <c r="R74" i="6" l="1"/>
  <c r="R73" i="6"/>
  <c r="BM32" i="6" l="1"/>
  <c r="BM10" i="6"/>
  <c r="BM42" i="6"/>
  <c r="BM39" i="6"/>
  <c r="BM5" i="6"/>
  <c r="BM71" i="6"/>
  <c r="S23" i="6" l="1"/>
  <c r="S72" i="6"/>
  <c r="S79" i="6" l="1"/>
  <c r="S78" i="6"/>
  <c r="BM29" i="6" l="1"/>
  <c r="T66" i="6" l="1"/>
  <c r="T65" i="6"/>
  <c r="T72" i="6" l="1"/>
  <c r="U28" i="6" l="1"/>
  <c r="U77" i="6" l="1"/>
  <c r="U76" i="6"/>
  <c r="V79" i="6" l="1"/>
  <c r="V78" i="6"/>
  <c r="BN83" i="6" l="1"/>
  <c r="V72" i="6" l="1"/>
  <c r="V75" i="6" l="1"/>
  <c r="F83" i="6" l="1"/>
  <c r="V77" i="6" l="1"/>
  <c r="V76" i="6"/>
  <c r="V28" i="6" l="1"/>
  <c r="BN82" i="6" l="1"/>
  <c r="BM21" i="6" l="1"/>
  <c r="X32" i="6" l="1"/>
  <c r="X80" i="6" l="1"/>
  <c r="X72" i="6" l="1"/>
  <c r="X10" i="6" l="1"/>
  <c r="X66" i="6" l="1"/>
  <c r="X65" i="6"/>
  <c r="BN81" i="6"/>
  <c r="Y29" i="6" l="1"/>
  <c r="BN80" i="6" l="1"/>
  <c r="BN75" i="6"/>
  <c r="BN76" i="6" l="1"/>
  <c r="Y32" i="6"/>
  <c r="Y20" i="6"/>
  <c r="Y10" i="6" l="1"/>
  <c r="Y74" i="6" l="1"/>
  <c r="Y73" i="6"/>
  <c r="BN74" i="6" l="1"/>
  <c r="Y72" i="6"/>
  <c r="Y65" i="6"/>
  <c r="BM25" i="6" l="1"/>
  <c r="Z69" i="6" l="1"/>
  <c r="Z32" i="6" l="1"/>
  <c r="AA72" i="6" l="1"/>
  <c r="BM33" i="6" l="1"/>
  <c r="AA32" i="6" l="1"/>
  <c r="BM18" i="6" l="1"/>
  <c r="AB61" i="6" l="1"/>
  <c r="BN73" i="6" l="1"/>
  <c r="BM45" i="6" l="1"/>
  <c r="BM36" i="6"/>
  <c r="BM34" i="6"/>
  <c r="BM38" i="6"/>
  <c r="BM52" i="6"/>
  <c r="BM64" i="6"/>
  <c r="AC72" i="6" l="1"/>
  <c r="AC20" i="6" l="1"/>
  <c r="AC32" i="6"/>
  <c r="AC10" i="6"/>
  <c r="BN72" i="6"/>
  <c r="BN71" i="6"/>
  <c r="BN70" i="6" l="1"/>
  <c r="AD20" i="6" l="1"/>
  <c r="BM50" i="6" l="1"/>
  <c r="BM59" i="6"/>
  <c r="AE10" i="6" l="1"/>
  <c r="AE61" i="6" l="1"/>
  <c r="AK33" i="6" l="1"/>
  <c r="AK32" i="6"/>
  <c r="AK8" i="6"/>
  <c r="BN69" i="6" l="1"/>
  <c r="BM58" i="6" l="1"/>
  <c r="AH61" i="6" l="1"/>
  <c r="AI10" i="6" l="1"/>
  <c r="AJ63" i="6" l="1"/>
  <c r="BM11" i="6" l="1"/>
  <c r="AK61" i="6" l="1"/>
  <c r="AK44" i="6"/>
  <c r="AS41" i="6" l="1"/>
  <c r="AS40" i="6"/>
  <c r="BM40" i="6" l="1"/>
  <c r="AL52" i="6" l="1"/>
  <c r="AL8" i="6" l="1"/>
  <c r="AL63" i="6" l="1"/>
  <c r="AL33" i="6"/>
  <c r="AL15" i="6" l="1"/>
  <c r="AL10" i="6" l="1"/>
  <c r="AL5" i="6"/>
  <c r="AL44" i="6"/>
  <c r="BM7" i="6" l="1"/>
  <c r="AN33" i="6" l="1"/>
  <c r="AM44" i="6" l="1"/>
  <c r="AM32" i="6" l="1"/>
  <c r="AN21" i="6" l="1"/>
  <c r="AN45" i="6" l="1"/>
  <c r="AN11" i="6" l="1"/>
  <c r="BN68" i="6" l="1"/>
  <c r="AN63" i="6" l="1"/>
  <c r="AN13" i="6"/>
  <c r="AN24" i="6" l="1"/>
  <c r="AN32" i="6"/>
  <c r="AN44" i="6" l="1"/>
  <c r="AN54" i="6"/>
  <c r="AN8" i="6" l="1"/>
  <c r="AN10" i="6"/>
  <c r="BN67" i="6"/>
  <c r="AN52" i="6"/>
  <c r="AT41" i="6" l="1"/>
  <c r="AT40" i="6"/>
  <c r="AO40" i="6" l="1"/>
  <c r="AZ34" i="6" l="1"/>
  <c r="AO41" i="6" l="1"/>
  <c r="BN65" i="6" l="1"/>
  <c r="BN66" i="6"/>
  <c r="BM6" i="6" l="1"/>
  <c r="AP21" i="6" l="1"/>
  <c r="AP33" i="6" l="1"/>
  <c r="AP56" i="6" l="1"/>
  <c r="AP32" i="6" l="1"/>
  <c r="AP10" i="6" l="1"/>
  <c r="AP54" i="6"/>
  <c r="BN64" i="6"/>
  <c r="AP13" i="6"/>
  <c r="AP63" i="6" l="1"/>
  <c r="BN63" i="6" l="1"/>
  <c r="AP5" i="6" l="1"/>
  <c r="AP51" i="6"/>
  <c r="AQ44" i="6" l="1"/>
  <c r="AQ58" i="6" l="1"/>
  <c r="AQ11" i="6" l="1"/>
  <c r="AQ51" i="6" l="1"/>
  <c r="AQ38" i="6"/>
  <c r="AQ41" i="6" l="1"/>
  <c r="AQ25" i="6" l="1"/>
  <c r="AQ36" i="6"/>
  <c r="AQ48" i="6" l="1"/>
  <c r="F55" i="6" l="1"/>
  <c r="AQ52" i="6" l="1"/>
  <c r="AQ21" i="6"/>
  <c r="AQ54" i="6"/>
  <c r="AQ10" i="6"/>
  <c r="AR37" i="6" l="1"/>
  <c r="AR62" i="6" l="1"/>
  <c r="BN62" i="6" s="1"/>
  <c r="AR50" i="6" l="1"/>
  <c r="AR58" i="6"/>
  <c r="BN61" i="6"/>
  <c r="AR32" i="6"/>
  <c r="AR13" i="6"/>
  <c r="AR8" i="6"/>
  <c r="AR5" i="6"/>
  <c r="AR47" i="6"/>
  <c r="AS43" i="6" l="1"/>
  <c r="BN60" i="6"/>
  <c r="AS22" i="6"/>
  <c r="BN59" i="6"/>
  <c r="AS58" i="6"/>
  <c r="BN58" i="6" s="1"/>
  <c r="BN57" i="6"/>
  <c r="BN56" i="6" l="1"/>
  <c r="AT38" i="6" l="1"/>
  <c r="AT13" i="6"/>
  <c r="AT9" i="6"/>
  <c r="AT10" i="6" l="1"/>
  <c r="AT32" i="6"/>
  <c r="AT52" i="6" l="1"/>
  <c r="AX40" i="6"/>
  <c r="AV40" i="6"/>
  <c r="AU33" i="6" l="1"/>
  <c r="BN55" i="6" l="1"/>
  <c r="AU38" i="6" l="1"/>
  <c r="BN54" i="6" l="1"/>
  <c r="AU16" i="6"/>
  <c r="BN53" i="6" l="1"/>
  <c r="AU52" i="6"/>
  <c r="BN52" i="6" l="1"/>
  <c r="BN51" i="6"/>
  <c r="AV14" i="6" l="1"/>
  <c r="AV10" i="6" l="1"/>
  <c r="AV5" i="6" l="1"/>
  <c r="AV9" i="6" l="1"/>
  <c r="AV50" i="6" l="1"/>
  <c r="BN48" i="6"/>
  <c r="BN49" i="6"/>
  <c r="BN50" i="6" l="1"/>
  <c r="AV8" i="6"/>
  <c r="BN47" i="6" l="1"/>
  <c r="AV25" i="6"/>
  <c r="AV16" i="6"/>
  <c r="AV44" i="6" l="1"/>
  <c r="BN46" i="6" l="1"/>
  <c r="BN45" i="6" l="1"/>
  <c r="AW10" i="6" l="1"/>
  <c r="AW9" i="6" l="1"/>
  <c r="AW44" i="6"/>
  <c r="BN44" i="6" s="1"/>
  <c r="AX16" i="6" l="1"/>
  <c r="AX11" i="6"/>
  <c r="BN43" i="6" l="1"/>
  <c r="BN42" i="6"/>
  <c r="AX33" i="6" l="1"/>
  <c r="BN39" i="6" l="1"/>
  <c r="BN38" i="6"/>
  <c r="AY30" i="6" l="1"/>
  <c r="BN36" i="6" l="1"/>
  <c r="BN37" i="6"/>
  <c r="AY11" i="6" l="1"/>
  <c r="AY10" i="6"/>
  <c r="AY5" i="6"/>
  <c r="BN35" i="6"/>
  <c r="BN34" i="6" l="1"/>
  <c r="AZ31" i="6" l="1"/>
  <c r="AZ33" i="6"/>
  <c r="AZ5" i="6"/>
  <c r="AZ25" i="6"/>
  <c r="AZ9" i="6"/>
  <c r="AZ10" i="6"/>
  <c r="BN33" i="6" l="1"/>
  <c r="BN26" i="6"/>
  <c r="BN27" i="6"/>
  <c r="BN29" i="6"/>
  <c r="BN30" i="6"/>
  <c r="BN31" i="6"/>
  <c r="BN32" i="6"/>
  <c r="BA10" i="6" l="1"/>
  <c r="BA9" i="6" l="1"/>
  <c r="BA5" i="6"/>
  <c r="BA24" i="6"/>
  <c r="BN25" i="6"/>
  <c r="BA23" i="6"/>
  <c r="BN23" i="6" s="1"/>
  <c r="BA8" i="6"/>
  <c r="BN20" i="6"/>
  <c r="BN21" i="6"/>
  <c r="BN22" i="6"/>
  <c r="BN24" i="6" l="1"/>
  <c r="BN19" i="6"/>
  <c r="BM4" i="6" l="1"/>
  <c r="BC11" i="6" l="1"/>
  <c r="BN15" i="6"/>
  <c r="BN16" i="6"/>
  <c r="BN18" i="6"/>
  <c r="BN17" i="6"/>
  <c r="BN13" i="6" l="1"/>
  <c r="BN14" i="6"/>
  <c r="BN12" i="6" l="1"/>
  <c r="BN9" i="6"/>
  <c r="BN7" i="6"/>
  <c r="BE11" i="6"/>
  <c r="BN11" i="6" l="1"/>
  <c r="BH6" i="6"/>
  <c r="BK6" i="6"/>
  <c r="BK8" i="6"/>
  <c r="BL6" i="6"/>
  <c r="BL5" i="6"/>
  <c r="BN6" i="6" l="1"/>
  <c r="BN8" i="6"/>
  <c r="BL10" i="6"/>
  <c r="BN10" i="6" l="1"/>
  <c r="BN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N28" i="6" l="1"/>
  <c r="BN89" i="6" s="1"/>
  <c r="BN90" i="6" l="1"/>
</calcChain>
</file>

<file path=xl/comments1.xml><?xml version="1.0" encoding="utf-8"?>
<comments xmlns="http://schemas.openxmlformats.org/spreadsheetml/2006/main">
  <authors>
    <author>Foret Oldřich</author>
  </authors>
  <commentList>
    <comment ref="BL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K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K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<sst xmlns="http://schemas.openxmlformats.org/spreadsheetml/2006/main" count="274" uniqueCount="191">
  <si>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</si>
  <si>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</si>
  <si>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</si>
  <si>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</si>
  <si>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</si>
  <si>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</si>
  <si>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</si>
  <si>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</si>
  <si>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</si>
  <si>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</si>
  <si>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</si>
  <si>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</si>
  <si>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</si>
  <si>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</si>
  <si>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</si>
  <si>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</si>
  <si>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</si>
  <si>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</si>
  <si>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</si>
  <si>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</si>
  <si>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</si>
  <si>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</si>
  <si>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</si>
  <si>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</si>
  <si>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</si>
  <si>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</si>
  <si>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</si>
  <si>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</si>
  <si>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</si>
  <si>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</si>
  <si>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</si>
  <si>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</si>
  <si>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</si>
  <si>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</si>
  <si>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</si>
  <si>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</si>
  <si>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</si>
  <si>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</si>
  <si>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</si>
  <si>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</si>
  <si>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</si>
  <si>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</si>
  <si>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</si>
  <si>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</si>
  <si>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</si>
  <si>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</si>
  <si>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</si>
  <si>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</si>
  <si>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</si>
  <si>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</si>
  <si>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</si>
  <si>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</si>
  <si>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</si>
  <si>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</si>
  <si>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</si>
  <si>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</si>
  <si>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</si>
  <si>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</si>
  <si>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</si>
  <si>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</si>
  <si>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</si>
  <si>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</si>
  <si>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</si>
  <si>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</si>
  <si>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</si>
  <si>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</si>
  <si>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</si>
  <si>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</si>
  <si>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</si>
  <si>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</si>
  <si>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</si>
  <si>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</si>
  <si>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</si>
  <si>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</si>
  <si>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</si>
  <si>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</si>
  <si>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</si>
  <si>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</si>
  <si>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</si>
  <si>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</si>
  <si>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</si>
  <si>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</si>
  <si>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</si>
  <si>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</si>
  <si>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</si>
  <si>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</si>
  <si>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</si>
  <si>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</si>
  <si>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</si>
  <si>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</si>
  <si>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</si>
  <si>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</si>
  <si>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</si>
  <si>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</si>
  <si>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</si>
  <si>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</si>
  <si>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</si>
  <si>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</si>
  <si>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</si>
  <si>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</si>
  <si>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</si>
  <si>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</si>
  <si>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</si>
  <si>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</si>
  <si>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</si>
  <si>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</si>
  <si>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</si>
  <si>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</si>
  <si>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</si>
  <si>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</si>
  <si>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</si>
  <si>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</si>
  <si>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</si>
  <si>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</si>
  <si>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</si>
  <si>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</si>
  <si>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</si>
  <si>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</si>
  <si>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</si>
  <si>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</si>
  <si>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</si>
  <si>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</si>
  <si>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</si>
  <si>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</si>
  <si>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</si>
  <si>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</si>
  <si>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</si>
  <si>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</si>
  <si>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</si>
  <si>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</si>
  <si>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</si>
  <si>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</si>
  <si>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</si>
  <si>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</si>
  <si>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</si>
  <si>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</si>
  <si>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</si>
  <si>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</si>
  <si>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</si>
  <si>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</si>
  <si>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</si>
  <si>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</si>
  <si>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</si>
  <si>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</si>
  <si>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</si>
  <si>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</si>
  <si>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</si>
  <si>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</si>
  <si>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</si>
  <si>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</si>
  <si>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</si>
  <si>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</si>
  <si>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</si>
  <si>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</si>
  <si>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</si>
  <si>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</si>
  <si>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</si>
  <si>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</si>
  <si>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</si>
  <si>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</si>
  <si>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</si>
  <si>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</si>
  <si>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</si>
  <si>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</si>
  <si>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</si>
  <si>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</si>
  <si>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</si>
  <si>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</si>
  <si>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</si>
  <si>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</si>
  <si>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</si>
  <si>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</si>
  <si>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</si>
  <si>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</si>
  <si>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</si>
  <si>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</si>
  <si>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</si>
  <si>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</si>
  <si>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</si>
  <si>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</si>
  <si>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</si>
  <si>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</si>
  <si>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</si>
  <si>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</si>
  <si>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</si>
  <si>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</si>
  <si>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</si>
  <si>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</si>
  <si>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</si>
  <si>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 xml:space="preserve">57. dílčí čerpání revolvingu KB (15.6.2020) </t>
  </si>
  <si>
    <t>56. dílčí čerpání revolvingu KB (1.6.2020) UR/94/78/2020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</si>
</sst>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1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33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P93"/>
  <sheetViews>
    <sheetView tabSelected="1" zoomScaleNormal="100" zoomScaleSheetLayoutView="100" workbookViewId="0">
      <selection activeCell="BN15" sqref="BN15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25" width="17.140625" hidden="1" customWidth="1"/>
    <col min="26" max="59" width="16.28515625" hidden="1" customWidth="1"/>
    <col min="60" max="60" width="17.140625" hidden="1" customWidth="1"/>
    <col min="61" max="61" width="17.85546875" hidden="1" customWidth="1"/>
    <col min="62" max="62" width="19.42578125" hidden="1" customWidth="1"/>
    <col min="63" max="63" width="17.42578125" hidden="1" customWidth="1"/>
    <col min="64" max="64" width="18.5703125" hidden="1" customWidth="1"/>
    <col min="65" max="65" width="17.42578125" customWidth="1"/>
    <col min="66" max="66" width="19.7109375" customWidth="1"/>
    <col min="67" max="68" width="18.85546875" customWidth="1"/>
  </cols>
  <sheetData>
    <row r="1" spans="2:68" ht="18.75" customHeight="1" thickBot="1" x14ac:dyDescent="0.35">
      <c r="B1" s="281" t="s">
        <v>38</v>
      </c>
      <c r="C1" s="281"/>
      <c r="D1" s="281"/>
      <c r="E1" s="281"/>
      <c r="F1" s="281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1" t="s">
        <v>30</v>
      </c>
    </row>
    <row r="2" spans="2:68" ht="15.75" customHeight="1" thickTop="1" x14ac:dyDescent="0.25">
      <c r="B2" s="282" t="s">
        <v>5</v>
      </c>
      <c r="C2" s="272" t="s">
        <v>0</v>
      </c>
      <c r="D2" s="286" t="s">
        <v>112</v>
      </c>
      <c r="E2" s="272" t="s">
        <v>1</v>
      </c>
      <c r="F2" s="284" t="s">
        <v>36</v>
      </c>
      <c r="G2" s="270" t="s">
        <v>28</v>
      </c>
      <c r="H2" s="270" t="s">
        <v>189</v>
      </c>
      <c r="I2" s="270" t="s">
        <v>190</v>
      </c>
      <c r="J2" s="270" t="s">
        <v>188</v>
      </c>
      <c r="K2" s="270" t="s">
        <v>187</v>
      </c>
      <c r="L2" s="270" t="s">
        <v>186</v>
      </c>
      <c r="M2" s="270" t="s">
        <v>183</v>
      </c>
      <c r="N2" s="270" t="s">
        <v>181</v>
      </c>
      <c r="O2" s="270" t="s">
        <v>179</v>
      </c>
      <c r="P2" s="270" t="s">
        <v>182</v>
      </c>
      <c r="Q2" s="270" t="s">
        <v>177</v>
      </c>
      <c r="R2" s="270" t="s">
        <v>176</v>
      </c>
      <c r="S2" s="270" t="s">
        <v>175</v>
      </c>
      <c r="T2" s="270" t="s">
        <v>174</v>
      </c>
      <c r="U2" s="270" t="s">
        <v>173</v>
      </c>
      <c r="V2" s="270" t="s">
        <v>171</v>
      </c>
      <c r="W2" s="270" t="s">
        <v>169</v>
      </c>
      <c r="X2" s="270" t="s">
        <v>167</v>
      </c>
      <c r="Y2" s="270" t="s">
        <v>164</v>
      </c>
      <c r="Z2" s="270" t="s">
        <v>163</v>
      </c>
      <c r="AA2" s="270" t="s">
        <v>160</v>
      </c>
      <c r="AB2" s="270" t="s">
        <v>159</v>
      </c>
      <c r="AC2" s="270" t="s">
        <v>155</v>
      </c>
      <c r="AD2" s="270" t="s">
        <v>153</v>
      </c>
      <c r="AE2" s="270" t="s">
        <v>151</v>
      </c>
      <c r="AF2" s="270" t="s">
        <v>150</v>
      </c>
      <c r="AG2" s="270" t="s">
        <v>148</v>
      </c>
      <c r="AH2" s="270" t="s">
        <v>147</v>
      </c>
      <c r="AI2" s="270" t="s">
        <v>146</v>
      </c>
      <c r="AJ2" s="270" t="s">
        <v>145</v>
      </c>
      <c r="AK2" s="270" t="s">
        <v>144</v>
      </c>
      <c r="AL2" s="270" t="s">
        <v>143</v>
      </c>
      <c r="AM2" s="270" t="s">
        <v>142</v>
      </c>
      <c r="AN2" s="270" t="s">
        <v>141</v>
      </c>
      <c r="AO2" s="270" t="s">
        <v>136</v>
      </c>
      <c r="AP2" s="270" t="s">
        <v>133</v>
      </c>
      <c r="AQ2" s="270" t="s">
        <v>140</v>
      </c>
      <c r="AR2" s="270" t="s">
        <v>130</v>
      </c>
      <c r="AS2" s="270" t="s">
        <v>109</v>
      </c>
      <c r="AT2" s="270" t="s">
        <v>103</v>
      </c>
      <c r="AU2" s="270" t="s">
        <v>102</v>
      </c>
      <c r="AV2" s="270" t="s">
        <v>98</v>
      </c>
      <c r="AW2" s="270" t="s">
        <v>90</v>
      </c>
      <c r="AX2" s="270" t="s">
        <v>85</v>
      </c>
      <c r="AY2" s="270" t="s">
        <v>79</v>
      </c>
      <c r="AZ2" s="270" t="s">
        <v>78</v>
      </c>
      <c r="BA2" s="270" t="s">
        <v>71</v>
      </c>
      <c r="BB2" s="270" t="s">
        <v>58</v>
      </c>
      <c r="BC2" s="270" t="s">
        <v>56</v>
      </c>
      <c r="BD2" s="270" t="s">
        <v>55</v>
      </c>
      <c r="BE2" s="270" t="s">
        <v>47</v>
      </c>
      <c r="BF2" s="270" t="s">
        <v>41</v>
      </c>
      <c r="BG2" s="270" t="s">
        <v>57</v>
      </c>
      <c r="BH2" s="270" t="s">
        <v>42</v>
      </c>
      <c r="BI2" s="270" t="s">
        <v>43</v>
      </c>
      <c r="BJ2" s="270" t="s">
        <v>44</v>
      </c>
      <c r="BK2" s="270" t="s">
        <v>45</v>
      </c>
      <c r="BL2" s="270" t="s">
        <v>46</v>
      </c>
      <c r="BM2" s="270" t="s">
        <v>50</v>
      </c>
      <c r="BN2" s="278" t="s">
        <v>27</v>
      </c>
    </row>
    <row r="3" spans="2:68" ht="45.75" customHeight="1" thickBot="1" x14ac:dyDescent="0.3">
      <c r="B3" s="283"/>
      <c r="C3" s="273"/>
      <c r="D3" s="287"/>
      <c r="E3" s="273"/>
      <c r="F3" s="285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9"/>
    </row>
    <row r="4" spans="2:68" ht="16.5" thickTop="1" x14ac:dyDescent="0.25">
      <c r="B4" s="55">
        <v>50</v>
      </c>
      <c r="C4" s="56">
        <v>100915</v>
      </c>
      <c r="D4" s="92" t="s">
        <v>113</v>
      </c>
      <c r="E4" s="57" t="s">
        <v>31</v>
      </c>
      <c r="F4" s="58">
        <v>100827566.23</v>
      </c>
      <c r="G4" s="58">
        <f>SUM(H4:BL4)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>
        <v>50732493</v>
      </c>
      <c r="BK4" s="58"/>
      <c r="BL4" s="58">
        <v>33823000</v>
      </c>
      <c r="BM4" s="58">
        <f>35722939.54+48832553.46</f>
        <v>84555493</v>
      </c>
      <c r="BN4" s="59">
        <f>G4-BM4</f>
        <v>0</v>
      </c>
    </row>
    <row r="5" spans="2:68" ht="15" customHeight="1" x14ac:dyDescent="0.25">
      <c r="B5" s="60">
        <v>52</v>
      </c>
      <c r="C5" s="61">
        <v>101080</v>
      </c>
      <c r="D5" s="93" t="s">
        <v>113</v>
      </c>
      <c r="E5" s="62" t="s">
        <v>29</v>
      </c>
      <c r="F5" s="63">
        <v>43111962.899999999</v>
      </c>
      <c r="G5" s="63">
        <f>SUM(H5:BL5)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>
        <v>972839.7</v>
      </c>
      <c r="AC5" s="63"/>
      <c r="AD5" s="63"/>
      <c r="AE5" s="63">
        <v>567489.6</v>
      </c>
      <c r="AF5" s="63">
        <v>1702469.7</v>
      </c>
      <c r="AG5" s="63">
        <v>7770828.5999999996</v>
      </c>
      <c r="AH5" s="63">
        <v>6447632.4000000004</v>
      </c>
      <c r="AI5" s="63"/>
      <c r="AJ5" s="63"/>
      <c r="AK5" s="63">
        <v>2502369.9</v>
      </c>
      <c r="AL5" s="63">
        <f>4737.6+1289053.8</f>
        <v>1293791.4000000001</v>
      </c>
      <c r="AM5" s="63"/>
      <c r="AN5" s="63">
        <v>2913213.6</v>
      </c>
      <c r="AO5" s="63">
        <v>4737.6000000000004</v>
      </c>
      <c r="AP5" s="63">
        <f>1379180.7</f>
        <v>1379180.7</v>
      </c>
      <c r="AQ5" s="63">
        <v>4737.6000000000004</v>
      </c>
      <c r="AR5" s="63">
        <f>452513.7+1498386.6+4737.6-1800</f>
        <v>1953837.9000000001</v>
      </c>
      <c r="AS5" s="63"/>
      <c r="AT5" s="63">
        <v>572472</v>
      </c>
      <c r="AU5" s="63">
        <v>4737.6000000000004</v>
      </c>
      <c r="AV5" s="63">
        <f>4737.6+1599051.6+928194.3</f>
        <v>2531983.5</v>
      </c>
      <c r="AW5" s="63"/>
      <c r="AX5" s="63">
        <v>2691313.2</v>
      </c>
      <c r="AY5" s="63">
        <f>548022.6+827964.9</f>
        <v>1375987.5</v>
      </c>
      <c r="AZ5" s="63">
        <f>112455+4737.6</f>
        <v>117192.6</v>
      </c>
      <c r="BA5" s="63">
        <f>4737.6+548435.7</f>
        <v>553173.29999999993</v>
      </c>
      <c r="BB5" s="63">
        <v>3202485.6</v>
      </c>
      <c r="BC5" s="63"/>
      <c r="BD5" s="63"/>
      <c r="BE5" s="63"/>
      <c r="BF5" s="63"/>
      <c r="BG5" s="63"/>
      <c r="BH5" s="63"/>
      <c r="BI5" s="63"/>
      <c r="BJ5" s="63"/>
      <c r="BK5" s="63"/>
      <c r="BL5" s="63">
        <f>15037000-7315000-431000-3100000</f>
        <v>4191000</v>
      </c>
      <c r="BM5" s="63">
        <f>4552634.85+5719945.5+16014832.07+5737316.27+10728745.31</f>
        <v>42753474</v>
      </c>
      <c r="BN5" s="64">
        <f>G5-BM5</f>
        <v>0</v>
      </c>
      <c r="BP5" s="87"/>
    </row>
    <row r="6" spans="2:68" ht="15.75" x14ac:dyDescent="0.25">
      <c r="B6" s="60">
        <v>12</v>
      </c>
      <c r="C6" s="61">
        <v>1600</v>
      </c>
      <c r="D6" s="93" t="s">
        <v>114</v>
      </c>
      <c r="E6" s="62" t="s">
        <v>32</v>
      </c>
      <c r="F6" s="63">
        <v>164072363.22</v>
      </c>
      <c r="G6" s="63">
        <f t="shared" ref="G6:G32" si="0">SUM(H6:BL6)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160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>
        <v>11479091.68</v>
      </c>
      <c r="AY6" s="63">
        <v>3572543.77</v>
      </c>
      <c r="AZ6" s="63"/>
      <c r="BA6" s="63"/>
      <c r="BB6" s="63">
        <v>483066.76</v>
      </c>
      <c r="BC6" s="63"/>
      <c r="BD6" s="63"/>
      <c r="BE6" s="63">
        <v>13541731.43</v>
      </c>
      <c r="BF6" s="63"/>
      <c r="BG6" s="63">
        <v>12413444.029999999</v>
      </c>
      <c r="BH6" s="63">
        <f>27436365.11-6090000-3100000</f>
        <v>18246365.109999999</v>
      </c>
      <c r="BI6" s="63">
        <v>15658817.550000001</v>
      </c>
      <c r="BJ6" s="63">
        <v>8315262.8799999999</v>
      </c>
      <c r="BK6" s="63">
        <f>3729948.93+6090000</f>
        <v>9819948.9299999997</v>
      </c>
      <c r="BL6" s="63">
        <f>3100000</f>
        <v>3100000</v>
      </c>
      <c r="BM6" s="63">
        <f>81578636.71+15051635.43</f>
        <v>96630272.139999986</v>
      </c>
      <c r="BN6" s="64">
        <f>G6-BM6</f>
        <v>0</v>
      </c>
    </row>
    <row r="7" spans="2:68" ht="15.75" x14ac:dyDescent="0.25">
      <c r="B7" s="60">
        <v>12</v>
      </c>
      <c r="C7" s="61">
        <v>1600</v>
      </c>
      <c r="D7" s="93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160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>
        <v>4049994.74</v>
      </c>
      <c r="AY7" s="63">
        <v>4356</v>
      </c>
      <c r="AZ7" s="63"/>
      <c r="BA7" s="63"/>
      <c r="BB7" s="63"/>
      <c r="BC7" s="63"/>
      <c r="BD7" s="63"/>
      <c r="BE7" s="63"/>
      <c r="BF7" s="63">
        <v>3237175.44</v>
      </c>
      <c r="BG7" s="63">
        <v>6991149.0999999996</v>
      </c>
      <c r="BH7" s="63">
        <v>4356</v>
      </c>
      <c r="BI7" s="63">
        <v>3816000.31</v>
      </c>
      <c r="BJ7" s="63">
        <v>806397.55</v>
      </c>
      <c r="BK7" s="63">
        <v>217541.61</v>
      </c>
      <c r="BL7" s="63"/>
      <c r="BM7" s="63">
        <f>19030302.01+96668.74</f>
        <v>19126970.75</v>
      </c>
      <c r="BN7" s="64">
        <f t="shared" ref="BN7:BN14" si="1">G7-BM7</f>
        <v>0</v>
      </c>
    </row>
    <row r="8" spans="2:68" ht="31.5" x14ac:dyDescent="0.25">
      <c r="B8" s="60">
        <v>52</v>
      </c>
      <c r="C8" s="61">
        <v>100768</v>
      </c>
      <c r="D8" s="93" t="s">
        <v>113</v>
      </c>
      <c r="E8" s="62" t="s">
        <v>34</v>
      </c>
      <c r="F8" s="63">
        <v>56075578.880000003</v>
      </c>
      <c r="G8" s="63">
        <f t="shared" si="0"/>
        <v>48071769.150000021</v>
      </c>
      <c r="H8" s="63"/>
      <c r="I8" s="63">
        <v>3621824.02</v>
      </c>
      <c r="J8" s="63"/>
      <c r="K8" s="63"/>
      <c r="L8" s="63">
        <v>1280366.76</v>
      </c>
      <c r="M8" s="63"/>
      <c r="N8" s="63">
        <v>1743631.34</v>
      </c>
      <c r="O8" s="63">
        <f>509303.25+29959.01</f>
        <v>539262.26</v>
      </c>
      <c r="P8" s="63">
        <v>399205.28</v>
      </c>
      <c r="Q8" s="63">
        <v>2076872.85</v>
      </c>
      <c r="R8" s="63"/>
      <c r="S8" s="63">
        <v>1468919.55</v>
      </c>
      <c r="T8" s="63"/>
      <c r="U8" s="63">
        <v>5324978.53</v>
      </c>
      <c r="V8" s="63">
        <v>4701644.87</v>
      </c>
      <c r="W8" s="63"/>
      <c r="X8" s="63">
        <v>2926141.16</v>
      </c>
      <c r="Y8" s="63">
        <v>1750830.79</v>
      </c>
      <c r="Z8" s="63"/>
      <c r="AA8" s="63">
        <v>1411373.56</v>
      </c>
      <c r="AB8" s="63"/>
      <c r="AC8" s="63">
        <v>3258862.03</v>
      </c>
      <c r="AD8" s="63"/>
      <c r="AE8" s="63">
        <v>289937.09000000003</v>
      </c>
      <c r="AF8" s="63"/>
      <c r="AG8" s="63">
        <v>76251.210000000006</v>
      </c>
      <c r="AH8" s="63"/>
      <c r="AI8" s="63"/>
      <c r="AJ8" s="63"/>
      <c r="AK8" s="63">
        <f>507947.98+1656+2484</f>
        <v>512087.98</v>
      </c>
      <c r="AL8" s="63">
        <f>2070+1063610.67</f>
        <v>1065680.67</v>
      </c>
      <c r="AM8" s="63"/>
      <c r="AN8" s="63">
        <f>1656+966679.23</f>
        <v>968335.23</v>
      </c>
      <c r="AO8" s="63"/>
      <c r="AP8" s="63">
        <v>1107780.25</v>
      </c>
      <c r="AQ8" s="63"/>
      <c r="AR8" s="63">
        <f>2015046.92+3726</f>
        <v>2018772.92</v>
      </c>
      <c r="AS8" s="63"/>
      <c r="AT8" s="63"/>
      <c r="AU8" s="63">
        <v>2194943.2000000002</v>
      </c>
      <c r="AV8" s="63">
        <f>2898+2584201.21</f>
        <v>2587099.21</v>
      </c>
      <c r="AW8" s="63"/>
      <c r="AX8" s="63">
        <v>1717251.88</v>
      </c>
      <c r="AY8" s="63">
        <v>6012</v>
      </c>
      <c r="AZ8" s="63">
        <v>1911435.95</v>
      </c>
      <c r="BA8" s="63">
        <f>1822719.58+107218.8-53669.82</f>
        <v>1876268.56</v>
      </c>
      <c r="BB8" s="63"/>
      <c r="BC8" s="63"/>
      <c r="BD8" s="63"/>
      <c r="BE8" s="63"/>
      <c r="BF8" s="63"/>
      <c r="BG8" s="63"/>
      <c r="BH8" s="63"/>
      <c r="BI8" s="63"/>
      <c r="BJ8" s="63"/>
      <c r="BK8" s="63">
        <f>7326000-6090000</f>
        <v>1236000</v>
      </c>
      <c r="BL8" s="63"/>
      <c r="BM8" s="63">
        <f>11457582.3+6658190.76+16492676.36</f>
        <v>34608449.420000002</v>
      </c>
      <c r="BN8" s="64">
        <f t="shared" si="1"/>
        <v>13463319.730000019</v>
      </c>
    </row>
    <row r="9" spans="2:68" s="98" customFormat="1" ht="22.5" customHeight="1" x14ac:dyDescent="0.25">
      <c r="B9" s="60">
        <v>52</v>
      </c>
      <c r="C9" s="61">
        <v>101011</v>
      </c>
      <c r="D9" s="93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>
        <v>1470150</v>
      </c>
      <c r="AC9" s="63"/>
      <c r="AD9" s="63">
        <v>1470150</v>
      </c>
      <c r="AE9" s="63"/>
      <c r="AF9" s="63"/>
      <c r="AG9" s="63"/>
      <c r="AH9" s="63">
        <v>877571.1</v>
      </c>
      <c r="AI9" s="63"/>
      <c r="AJ9" s="63"/>
      <c r="AK9" s="63">
        <v>87120</v>
      </c>
      <c r="AL9" s="63"/>
      <c r="AM9" s="63"/>
      <c r="AN9" s="63">
        <v>2920189.5</v>
      </c>
      <c r="AO9" s="63"/>
      <c r="AP9" s="63"/>
      <c r="AQ9" s="63">
        <v>19602</v>
      </c>
      <c r="AR9" s="63">
        <v>3430.35</v>
      </c>
      <c r="AS9" s="63"/>
      <c r="AT9" s="63">
        <f>64251+3920.4+8253856.25+455873.15</f>
        <v>8777900.8000000007</v>
      </c>
      <c r="AU9" s="63">
        <v>37570.5</v>
      </c>
      <c r="AV9" s="63">
        <f>19057.5+21562.2+277140.63+17480024.21</f>
        <v>17797784.539999999</v>
      </c>
      <c r="AW9" s="63">
        <f>19057.5+2327600.29+14532950.21</f>
        <v>16879608</v>
      </c>
      <c r="AX9" s="63">
        <v>7350.75</v>
      </c>
      <c r="AY9" s="63">
        <v>8820.9</v>
      </c>
      <c r="AZ9" s="63">
        <f>19057.5+11037194.45</f>
        <v>11056251.949999999</v>
      </c>
      <c r="BA9" s="63">
        <f>4465625.29-155311.38</f>
        <v>4310313.91</v>
      </c>
      <c r="BB9" s="63"/>
      <c r="BC9" s="63"/>
      <c r="BD9" s="63">
        <v>4410.46</v>
      </c>
      <c r="BE9" s="63"/>
      <c r="BF9" s="63"/>
      <c r="BG9" s="63">
        <v>11162291.48</v>
      </c>
      <c r="BH9" s="63"/>
      <c r="BI9" s="63"/>
      <c r="BJ9" s="63"/>
      <c r="BK9" s="63">
        <v>26120100</v>
      </c>
      <c r="BL9" s="63"/>
      <c r="BM9" s="63">
        <f>37054247.85+58394383.68+52304.59+3399094.99+3817871.1+292714.03</f>
        <v>103010616.23999999</v>
      </c>
      <c r="BN9" s="64">
        <f t="shared" si="1"/>
        <v>0</v>
      </c>
    </row>
    <row r="10" spans="2:68" ht="22.5" customHeight="1" x14ac:dyDescent="0.25">
      <c r="B10" s="60">
        <v>50</v>
      </c>
      <c r="C10" s="61">
        <v>100913</v>
      </c>
      <c r="D10" s="93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>
        <f>38115+1425110.05+78408+4936395.21</f>
        <v>6478028.2599999998</v>
      </c>
      <c r="Y10" s="63">
        <f>2018340.08+38115</f>
        <v>2056455.08</v>
      </c>
      <c r="Z10" s="63">
        <v>43560</v>
      </c>
      <c r="AA10" s="63">
        <v>1286696.8400000001</v>
      </c>
      <c r="AB10" s="63"/>
      <c r="AC10" s="63">
        <f>4408110.89+43560</f>
        <v>4451670.8899999997</v>
      </c>
      <c r="AD10" s="63"/>
      <c r="AE10" s="63">
        <f>54450+1133744.72</f>
        <v>1188194.72</v>
      </c>
      <c r="AF10" s="63"/>
      <c r="AG10" s="63">
        <v>43560</v>
      </c>
      <c r="AH10" s="63"/>
      <c r="AI10" s="63">
        <f>8561899.75+30492</f>
        <v>8592391.75</v>
      </c>
      <c r="AJ10" s="63"/>
      <c r="AK10" s="63"/>
      <c r="AL10" s="63">
        <f>54450+9583.2</f>
        <v>64033.2</v>
      </c>
      <c r="AM10" s="63"/>
      <c r="AN10" s="63">
        <f>9583.2+76948.74</f>
        <v>86531.94</v>
      </c>
      <c r="AO10" s="63"/>
      <c r="AP10" s="63">
        <f>9583.2+90495.9+578002.21+3650994.62</f>
        <v>4329075.93</v>
      </c>
      <c r="AQ10" s="63">
        <f>9583.2+98010+9249431.23</f>
        <v>9357024.4299999997</v>
      </c>
      <c r="AR10" s="63"/>
      <c r="AS10" s="63"/>
      <c r="AT10" s="63">
        <f>98010+9583.2</f>
        <v>107593.2</v>
      </c>
      <c r="AU10" s="63">
        <v>15743425.52</v>
      </c>
      <c r="AV10" s="63">
        <f>30511556.7+9583.2+98010</f>
        <v>30619149.899999999</v>
      </c>
      <c r="AW10" s="63">
        <f>98010+9583.2</f>
        <v>107593.2</v>
      </c>
      <c r="AX10" s="63">
        <v>24281840.899999999</v>
      </c>
      <c r="AY10" s="63">
        <f>9583.2+114345</f>
        <v>123928.2</v>
      </c>
      <c r="AZ10" s="63">
        <f>38136570.76</f>
        <v>38136570.759999998</v>
      </c>
      <c r="BA10" s="63">
        <f>30293637.38+1781978.67+9583.2-3743808.46</f>
        <v>28341390.789999995</v>
      </c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>
        <f>7315000+431000</f>
        <v>7746000</v>
      </c>
      <c r="BM10" s="63">
        <f>74347889.73+70745257.71+37904623.27+186944.8</f>
        <v>183184715.51000002</v>
      </c>
      <c r="BN10" s="64">
        <f t="shared" si="1"/>
        <v>0</v>
      </c>
    </row>
    <row r="11" spans="2:68" ht="31.5" x14ac:dyDescent="0.25">
      <c r="B11" s="60">
        <v>52</v>
      </c>
      <c r="C11" s="61">
        <v>100876</v>
      </c>
      <c r="D11" s="93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160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>
        <f>1329721.2-315947</f>
        <v>1013774.2</v>
      </c>
      <c r="AO11" s="63"/>
      <c r="AP11" s="63">
        <v>1473884.4</v>
      </c>
      <c r="AQ11" s="63">
        <f>1734724+7744</f>
        <v>1742468</v>
      </c>
      <c r="AR11" s="63">
        <v>7744</v>
      </c>
      <c r="AS11" s="63"/>
      <c r="AT11" s="63">
        <v>2289465.2000000002</v>
      </c>
      <c r="AU11" s="63">
        <v>7744</v>
      </c>
      <c r="AV11" s="63">
        <v>7744</v>
      </c>
      <c r="AW11" s="63"/>
      <c r="AX11" s="63">
        <f>7744+2944941.6</f>
        <v>2952685.6</v>
      </c>
      <c r="AY11" s="63">
        <f>1001767.6</f>
        <v>1001767.6</v>
      </c>
      <c r="AZ11" s="63">
        <v>7744</v>
      </c>
      <c r="BA11" s="63"/>
      <c r="BB11" s="63">
        <v>7744</v>
      </c>
      <c r="BC11" s="63">
        <f>827852.4+7744</f>
        <v>835596.4</v>
      </c>
      <c r="BD11" s="63"/>
      <c r="BE11" s="63">
        <f>7744+2359128</f>
        <v>2366872</v>
      </c>
      <c r="BF11" s="63">
        <v>7744</v>
      </c>
      <c r="BG11" s="63"/>
      <c r="BH11" s="63"/>
      <c r="BI11" s="63"/>
      <c r="BJ11" s="63"/>
      <c r="BK11" s="63"/>
      <c r="BL11" s="63"/>
      <c r="BM11" s="63">
        <f>7478737.2+6244240.2</f>
        <v>13722977.4</v>
      </c>
      <c r="BN11" s="64">
        <f t="shared" si="1"/>
        <v>0</v>
      </c>
    </row>
    <row r="12" spans="2:68" ht="63" x14ac:dyDescent="0.25">
      <c r="B12" s="65">
        <v>19</v>
      </c>
      <c r="C12" s="66">
        <v>1160</v>
      </c>
      <c r="D12" s="91" t="s">
        <v>115</v>
      </c>
      <c r="E12" s="67" t="s">
        <v>73</v>
      </c>
      <c r="F12" s="68">
        <v>3033505.38</v>
      </c>
      <c r="G12" s="63">
        <f t="shared" si="0"/>
        <v>963699.3</v>
      </c>
      <c r="H12" s="266"/>
      <c r="I12" s="261"/>
      <c r="J12" s="258"/>
      <c r="K12" s="254"/>
      <c r="L12" s="246"/>
      <c r="M12" s="242"/>
      <c r="N12" s="240"/>
      <c r="O12" s="228"/>
      <c r="P12" s="225"/>
      <c r="Q12" s="222"/>
      <c r="R12" s="219"/>
      <c r="S12" s="217"/>
      <c r="T12" s="212"/>
      <c r="U12" s="210"/>
      <c r="V12" s="196"/>
      <c r="W12" s="187"/>
      <c r="X12" s="185"/>
      <c r="Y12" s="169"/>
      <c r="Z12" s="166"/>
      <c r="AA12" s="161"/>
      <c r="AB12" s="158"/>
      <c r="AC12" s="150"/>
      <c r="AD12" s="137"/>
      <c r="AE12" s="136"/>
      <c r="AF12" s="130"/>
      <c r="AG12" s="128"/>
      <c r="AH12" s="127"/>
      <c r="AI12" s="126"/>
      <c r="AJ12" s="125"/>
      <c r="AK12" s="123"/>
      <c r="AL12" s="122"/>
      <c r="AM12" s="119"/>
      <c r="AN12" s="118"/>
      <c r="AO12" s="109"/>
      <c r="AP12" s="108"/>
      <c r="AQ12" s="100"/>
      <c r="AR12" s="90"/>
      <c r="AS12" s="88"/>
      <c r="AT12" s="68"/>
      <c r="AU12" s="68"/>
      <c r="AV12" s="68"/>
      <c r="AW12" s="68"/>
      <c r="AX12" s="68"/>
      <c r="AY12" s="68"/>
      <c r="AZ12" s="68">
        <v>457598.7</v>
      </c>
      <c r="BA12" s="68"/>
      <c r="BB12" s="68"/>
      <c r="BC12" s="68"/>
      <c r="BD12" s="68"/>
      <c r="BE12" s="68">
        <v>506100.6</v>
      </c>
      <c r="BF12" s="68"/>
      <c r="BG12" s="68"/>
      <c r="BH12" s="68"/>
      <c r="BI12" s="68"/>
      <c r="BJ12" s="68"/>
      <c r="BK12" s="68"/>
      <c r="BL12" s="68"/>
      <c r="BM12" s="68">
        <v>963699.3</v>
      </c>
      <c r="BN12" s="69">
        <f t="shared" si="1"/>
        <v>0</v>
      </c>
    </row>
    <row r="13" spans="2:68" ht="31.5" x14ac:dyDescent="0.25">
      <c r="B13" s="60">
        <v>52</v>
      </c>
      <c r="C13" s="61">
        <v>101131</v>
      </c>
      <c r="D13" s="93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66"/>
      <c r="I13" s="261"/>
      <c r="J13" s="258"/>
      <c r="K13" s="254"/>
      <c r="L13" s="246"/>
      <c r="M13" s="242"/>
      <c r="N13" s="240"/>
      <c r="O13" s="228"/>
      <c r="P13" s="225"/>
      <c r="Q13" s="222"/>
      <c r="R13" s="219"/>
      <c r="S13" s="217"/>
      <c r="T13" s="212"/>
      <c r="U13" s="210"/>
      <c r="V13" s="196"/>
      <c r="W13" s="187"/>
      <c r="X13" s="185"/>
      <c r="Y13" s="169"/>
      <c r="Z13" s="166"/>
      <c r="AA13" s="161"/>
      <c r="AB13" s="158"/>
      <c r="AC13" s="150"/>
      <c r="AD13" s="137"/>
      <c r="AE13" s="136"/>
      <c r="AF13" s="130"/>
      <c r="AG13" s="128"/>
      <c r="AH13" s="127"/>
      <c r="AI13" s="126"/>
      <c r="AJ13" s="125"/>
      <c r="AK13" s="123"/>
      <c r="AL13" s="122"/>
      <c r="AM13" s="120"/>
      <c r="AN13" s="118">
        <f>28800+1311015.47</f>
        <v>1339815.47</v>
      </c>
      <c r="AO13" s="109"/>
      <c r="AP13" s="108">
        <f>203530.93+19781.95</f>
        <v>223312.88</v>
      </c>
      <c r="AQ13" s="100">
        <v>377099.51</v>
      </c>
      <c r="AR13" s="90">
        <f>18770+960081.76</f>
        <v>978851.76</v>
      </c>
      <c r="AS13" s="88"/>
      <c r="AT13" s="68">
        <f>1818431.56+28800</f>
        <v>1847231.56</v>
      </c>
      <c r="AU13" s="68"/>
      <c r="AV13" s="68">
        <v>1534698.28</v>
      </c>
      <c r="AW13" s="68">
        <v>226408.02</v>
      </c>
      <c r="AX13" s="68"/>
      <c r="AY13" s="68"/>
      <c r="AZ13" s="68"/>
      <c r="BA13" s="68"/>
      <c r="BB13" s="68"/>
      <c r="BC13" s="68"/>
      <c r="BD13" s="63">
        <v>11762.53</v>
      </c>
      <c r="BE13" s="63"/>
      <c r="BF13" s="63"/>
      <c r="BG13" s="63"/>
      <c r="BH13" s="63"/>
      <c r="BI13" s="63"/>
      <c r="BJ13" s="63"/>
      <c r="BK13" s="63"/>
      <c r="BL13" s="63"/>
      <c r="BM13" s="63">
        <f>1638374.03+4894893.26+5912.72</f>
        <v>6539180.0099999998</v>
      </c>
      <c r="BN13" s="69">
        <f t="shared" si="1"/>
        <v>0</v>
      </c>
    </row>
    <row r="14" spans="2:68" ht="31.5" customHeight="1" x14ac:dyDescent="0.25">
      <c r="B14" s="65">
        <v>52</v>
      </c>
      <c r="C14" s="66">
        <v>101256</v>
      </c>
      <c r="D14" s="93" t="s">
        <v>113</v>
      </c>
      <c r="E14" s="67" t="s">
        <v>49</v>
      </c>
      <c r="F14" s="68">
        <v>655578</v>
      </c>
      <c r="G14" s="63">
        <f t="shared" si="0"/>
        <v>655578</v>
      </c>
      <c r="H14" s="266"/>
      <c r="I14" s="261"/>
      <c r="J14" s="258"/>
      <c r="K14" s="254"/>
      <c r="L14" s="246"/>
      <c r="M14" s="242"/>
      <c r="N14" s="240"/>
      <c r="O14" s="228"/>
      <c r="P14" s="225"/>
      <c r="Q14" s="222"/>
      <c r="R14" s="219"/>
      <c r="S14" s="217"/>
      <c r="T14" s="212"/>
      <c r="U14" s="210"/>
      <c r="V14" s="196"/>
      <c r="W14" s="187"/>
      <c r="X14" s="185"/>
      <c r="Y14" s="169"/>
      <c r="Z14" s="166"/>
      <c r="AA14" s="161"/>
      <c r="AB14" s="158"/>
      <c r="AC14" s="150"/>
      <c r="AD14" s="137"/>
      <c r="AE14" s="136"/>
      <c r="AF14" s="130"/>
      <c r="AG14" s="128"/>
      <c r="AH14" s="127"/>
      <c r="AI14" s="126"/>
      <c r="AJ14" s="125"/>
      <c r="AK14" s="123"/>
      <c r="AL14" s="122"/>
      <c r="AM14" s="120"/>
      <c r="AN14" s="118"/>
      <c r="AO14" s="109"/>
      <c r="AP14" s="108"/>
      <c r="AQ14" s="100"/>
      <c r="AR14" s="90"/>
      <c r="AS14" s="88"/>
      <c r="AT14" s="68"/>
      <c r="AU14" s="68"/>
      <c r="AV14" s="68">
        <f>1036620.14-382246.14</f>
        <v>654374</v>
      </c>
      <c r="AW14" s="68"/>
      <c r="AX14" s="68"/>
      <c r="AY14" s="68"/>
      <c r="AZ14" s="68"/>
      <c r="BA14" s="68"/>
      <c r="BB14" s="68"/>
      <c r="BC14" s="68"/>
      <c r="BD14" s="68">
        <v>1204</v>
      </c>
      <c r="BE14" s="68"/>
      <c r="BF14" s="68"/>
      <c r="BG14" s="68"/>
      <c r="BH14" s="68"/>
      <c r="BI14" s="68"/>
      <c r="BJ14" s="68"/>
      <c r="BK14" s="68"/>
      <c r="BL14" s="68"/>
      <c r="BM14" s="68">
        <f>603311.32+52266.68</f>
        <v>655578</v>
      </c>
      <c r="BN14" s="69">
        <f t="shared" si="1"/>
        <v>0</v>
      </c>
    </row>
    <row r="15" spans="2:68" ht="15.75" x14ac:dyDescent="0.25">
      <c r="B15" s="65">
        <v>52</v>
      </c>
      <c r="C15" s="66">
        <v>101019</v>
      </c>
      <c r="D15" s="93" t="s">
        <v>113</v>
      </c>
      <c r="E15" s="67" t="s">
        <v>51</v>
      </c>
      <c r="F15" s="68">
        <v>4174276</v>
      </c>
      <c r="G15" s="63">
        <f t="shared" si="0"/>
        <v>5360000.28</v>
      </c>
      <c r="H15" s="266"/>
      <c r="I15" s="261"/>
      <c r="J15" s="258"/>
      <c r="K15" s="254"/>
      <c r="L15" s="246"/>
      <c r="M15" s="242"/>
      <c r="N15" s="240"/>
      <c r="O15" s="228"/>
      <c r="P15" s="225"/>
      <c r="Q15" s="222"/>
      <c r="R15" s="219"/>
      <c r="S15" s="217"/>
      <c r="T15" s="212"/>
      <c r="U15" s="210"/>
      <c r="V15" s="196"/>
      <c r="W15" s="187"/>
      <c r="X15" s="185"/>
      <c r="Y15" s="169"/>
      <c r="Z15" s="166"/>
      <c r="AA15" s="161"/>
      <c r="AB15" s="158"/>
      <c r="AC15" s="150"/>
      <c r="AD15" s="137"/>
      <c r="AE15" s="136">
        <v>2042946.74</v>
      </c>
      <c r="AF15" s="130">
        <v>12100</v>
      </c>
      <c r="AG15" s="128">
        <v>1602054.33</v>
      </c>
      <c r="AH15" s="127">
        <v>6050</v>
      </c>
      <c r="AI15" s="126"/>
      <c r="AJ15" s="125"/>
      <c r="AK15" s="123">
        <v>9680</v>
      </c>
      <c r="AL15" s="122">
        <f>1635139.21+15730</f>
        <v>1650869.21</v>
      </c>
      <c r="AM15" s="120"/>
      <c r="AN15" s="118"/>
      <c r="AO15" s="109"/>
      <c r="AP15" s="108"/>
      <c r="AQ15" s="100"/>
      <c r="AR15" s="90"/>
      <c r="AS15" s="88">
        <v>21780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>
        <v>14520</v>
      </c>
      <c r="BD15" s="68"/>
      <c r="BE15" s="68"/>
      <c r="BF15" s="68"/>
      <c r="BG15" s="68"/>
      <c r="BH15" s="68"/>
      <c r="BI15" s="68"/>
      <c r="BJ15" s="68"/>
      <c r="BK15" s="68"/>
      <c r="BL15" s="68"/>
      <c r="BM15" s="68">
        <f>1185724.28+1821781.7+2352494.29+0.01</f>
        <v>5360000.2799999993</v>
      </c>
      <c r="BN15" s="69">
        <f>G15-BM15</f>
        <v>0</v>
      </c>
      <c r="BP15" s="87"/>
    </row>
    <row r="16" spans="2:68" ht="31.5" x14ac:dyDescent="0.25">
      <c r="B16" s="60">
        <v>52</v>
      </c>
      <c r="C16" s="61">
        <v>101141</v>
      </c>
      <c r="D16" s="93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160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>
        <v>1281249.6499999999</v>
      </c>
      <c r="AS16" s="63"/>
      <c r="AT16" s="63"/>
      <c r="AU16" s="63">
        <f>3840+1728282.44</f>
        <v>1732122.44</v>
      </c>
      <c r="AV16" s="63">
        <f>3840+1685476.96+168136.57</f>
        <v>1857453.53</v>
      </c>
      <c r="AW16" s="63"/>
      <c r="AX16" s="63">
        <f>5760+800650.35</f>
        <v>806410.35</v>
      </c>
      <c r="AY16" s="63">
        <v>17424</v>
      </c>
      <c r="AZ16" s="63"/>
      <c r="BA16" s="63"/>
      <c r="BB16" s="63"/>
      <c r="BC16" s="63">
        <v>11616</v>
      </c>
      <c r="BD16" s="63"/>
      <c r="BE16" s="63"/>
      <c r="BF16" s="63"/>
      <c r="BG16" s="63"/>
      <c r="BH16" s="63"/>
      <c r="BI16" s="63"/>
      <c r="BJ16" s="63"/>
      <c r="BK16" s="63"/>
      <c r="BL16" s="63"/>
      <c r="BM16" s="63">
        <f>2232246.52+2475571.08+967772.3+30686.07</f>
        <v>5706275.9699999997</v>
      </c>
      <c r="BN16" s="69">
        <f t="shared" ref="BN16:BN18" si="2">G16-BM16</f>
        <v>0</v>
      </c>
    </row>
    <row r="17" spans="2:68" ht="31.5" x14ac:dyDescent="0.25">
      <c r="B17" s="60">
        <v>52</v>
      </c>
      <c r="C17" s="61">
        <v>101257</v>
      </c>
      <c r="D17" s="93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160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>
        <v>225034.82</v>
      </c>
      <c r="AQ17" s="63">
        <v>426146.03</v>
      </c>
      <c r="AR17" s="63"/>
      <c r="AS17" s="63"/>
      <c r="AT17" s="63"/>
      <c r="AU17" s="63"/>
      <c r="AV17" s="63">
        <v>4625.6000000000004</v>
      </c>
      <c r="AW17" s="63"/>
      <c r="AX17" s="63"/>
      <c r="AY17" s="63"/>
      <c r="AZ17" s="63"/>
      <c r="BA17" s="63"/>
      <c r="BB17" s="63"/>
      <c r="BC17" s="63">
        <v>3084.2</v>
      </c>
      <c r="BD17" s="63"/>
      <c r="BE17" s="63"/>
      <c r="BF17" s="63"/>
      <c r="BG17" s="63"/>
      <c r="BH17" s="63"/>
      <c r="BI17" s="63"/>
      <c r="BJ17" s="63"/>
      <c r="BK17" s="63"/>
      <c r="BL17" s="63"/>
      <c r="BM17" s="63">
        <f>506844.8+152045.85</f>
        <v>658890.65</v>
      </c>
      <c r="BN17" s="69">
        <f t="shared" si="2"/>
        <v>0</v>
      </c>
    </row>
    <row r="18" spans="2:68" ht="31.5" x14ac:dyDescent="0.25">
      <c r="B18" s="60">
        <v>52</v>
      </c>
      <c r="C18" s="61">
        <v>101088</v>
      </c>
      <c r="D18" s="93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160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>
        <v>361383.69</v>
      </c>
      <c r="AQ18" s="63">
        <v>1021703.67</v>
      </c>
      <c r="AR18" s="63"/>
      <c r="AS18" s="63"/>
      <c r="AT18" s="63">
        <v>471491.5</v>
      </c>
      <c r="AU18" s="63"/>
      <c r="AV18" s="63">
        <v>14780.8</v>
      </c>
      <c r="AW18" s="63"/>
      <c r="AX18" s="63"/>
      <c r="AY18" s="63"/>
      <c r="AZ18" s="63"/>
      <c r="BA18" s="63"/>
      <c r="BB18" s="63"/>
      <c r="BC18" s="63">
        <v>9853.6</v>
      </c>
      <c r="BD18" s="63"/>
      <c r="BE18" s="63"/>
      <c r="BF18" s="63"/>
      <c r="BG18" s="63"/>
      <c r="BH18" s="63"/>
      <c r="BI18" s="63"/>
      <c r="BJ18" s="63"/>
      <c r="BK18" s="63"/>
      <c r="BL18" s="63"/>
      <c r="BM18" s="63">
        <f>1296960.25+237519.36+344733.65</f>
        <v>1879213.2599999998</v>
      </c>
      <c r="BN18" s="69">
        <f t="shared" si="2"/>
        <v>0</v>
      </c>
    </row>
    <row r="19" spans="2:68" ht="31.5" x14ac:dyDescent="0.25">
      <c r="B19" s="65">
        <v>19</v>
      </c>
      <c r="C19" s="66">
        <v>1128</v>
      </c>
      <c r="D19" s="91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66"/>
      <c r="I19" s="261"/>
      <c r="J19" s="258"/>
      <c r="K19" s="254"/>
      <c r="L19" s="246"/>
      <c r="M19" s="242"/>
      <c r="N19" s="240"/>
      <c r="O19" s="228"/>
      <c r="P19" s="225"/>
      <c r="Q19" s="222"/>
      <c r="R19" s="219"/>
      <c r="S19" s="217"/>
      <c r="T19" s="212"/>
      <c r="U19" s="210"/>
      <c r="V19" s="196"/>
      <c r="W19" s="187"/>
      <c r="X19" s="185"/>
      <c r="Y19" s="169"/>
      <c r="Z19" s="166"/>
      <c r="AA19" s="161"/>
      <c r="AB19" s="158"/>
      <c r="AC19" s="150"/>
      <c r="AD19" s="137"/>
      <c r="AE19" s="136"/>
      <c r="AF19" s="130"/>
      <c r="AG19" s="128"/>
      <c r="AH19" s="127"/>
      <c r="AI19" s="126"/>
      <c r="AJ19" s="125"/>
      <c r="AK19" s="123"/>
      <c r="AL19" s="122"/>
      <c r="AM19" s="120"/>
      <c r="AN19" s="118"/>
      <c r="AO19" s="109">
        <v>1080287.99</v>
      </c>
      <c r="AP19" s="108"/>
      <c r="AQ19" s="100">
        <v>84257.02</v>
      </c>
      <c r="AR19" s="90"/>
      <c r="AS19" s="88">
        <v>1045800</v>
      </c>
      <c r="AT19" s="68"/>
      <c r="AU19" s="68"/>
      <c r="AV19" s="68"/>
      <c r="AW19" s="68"/>
      <c r="AX19" s="68"/>
      <c r="AY19" s="68"/>
      <c r="AZ19" s="68"/>
      <c r="BA19" s="68"/>
      <c r="BB19" s="68"/>
      <c r="BC19" s="68">
        <v>19602</v>
      </c>
      <c r="BD19" s="68"/>
      <c r="BE19" s="68"/>
      <c r="BF19" s="68"/>
      <c r="BG19" s="68"/>
      <c r="BH19" s="68"/>
      <c r="BI19" s="68"/>
      <c r="BJ19" s="68"/>
      <c r="BK19" s="68"/>
      <c r="BL19" s="68"/>
      <c r="BM19" s="68">
        <v>2229947.0099999998</v>
      </c>
      <c r="BN19" s="69">
        <f>G19-BM19</f>
        <v>0</v>
      </c>
    </row>
    <row r="20" spans="2:68" ht="31.5" x14ac:dyDescent="0.25">
      <c r="B20" s="60">
        <v>52</v>
      </c>
      <c r="C20" s="61">
        <v>101022</v>
      </c>
      <c r="D20" s="93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66"/>
      <c r="I20" s="261"/>
      <c r="J20" s="258"/>
      <c r="K20" s="254"/>
      <c r="L20" s="246"/>
      <c r="M20" s="242"/>
      <c r="N20" s="240"/>
      <c r="O20" s="228"/>
      <c r="P20" s="225"/>
      <c r="Q20" s="222"/>
      <c r="R20" s="219"/>
      <c r="S20" s="217">
        <v>18418.349999999999</v>
      </c>
      <c r="T20" s="214">
        <v>8531.33</v>
      </c>
      <c r="U20" s="210"/>
      <c r="V20" s="196">
        <v>15100.8</v>
      </c>
      <c r="W20" s="187"/>
      <c r="X20" s="185">
        <v>15100.8</v>
      </c>
      <c r="Y20" s="169">
        <f>13068+888961.83</f>
        <v>902029.83</v>
      </c>
      <c r="Z20" s="166">
        <v>13068</v>
      </c>
      <c r="AA20" s="164">
        <v>669349.32999999996</v>
      </c>
      <c r="AB20" s="158"/>
      <c r="AC20" s="150">
        <f>1816850.63+13068</f>
        <v>1829918.63</v>
      </c>
      <c r="AD20" s="137">
        <f>13068+4067489.05</f>
        <v>4080557.05</v>
      </c>
      <c r="AE20" s="136"/>
      <c r="AF20" s="130"/>
      <c r="AG20" s="128"/>
      <c r="AH20" s="127"/>
      <c r="AI20" s="126"/>
      <c r="AJ20" s="125"/>
      <c r="AK20" s="123"/>
      <c r="AL20" s="122"/>
      <c r="AM20" s="120"/>
      <c r="AN20" s="118">
        <v>990490.73</v>
      </c>
      <c r="AO20" s="109"/>
      <c r="AP20" s="108"/>
      <c r="AQ20" s="100"/>
      <c r="AR20" s="90"/>
      <c r="AS20" s="88"/>
      <c r="AT20" s="68"/>
      <c r="AU20" s="68"/>
      <c r="AV20" s="68"/>
      <c r="AW20" s="68">
        <v>15347.06</v>
      </c>
      <c r="AX20" s="68"/>
      <c r="AY20" s="68"/>
      <c r="AZ20" s="68"/>
      <c r="BA20" s="63">
        <v>10231.370000000001</v>
      </c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>
        <f>1164763.07+6587126.96+816253.25</f>
        <v>8568143.2800000012</v>
      </c>
      <c r="BN20" s="69">
        <f t="shared" ref="BN20:BN33" si="3">G20-BM20</f>
        <v>0</v>
      </c>
    </row>
    <row r="21" spans="2:68" ht="31.5" x14ac:dyDescent="0.25">
      <c r="B21" s="65">
        <v>52</v>
      </c>
      <c r="C21" s="66">
        <v>101253</v>
      </c>
      <c r="D21" s="93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66"/>
      <c r="I21" s="261"/>
      <c r="J21" s="258"/>
      <c r="K21" s="254"/>
      <c r="L21" s="246"/>
      <c r="M21" s="242"/>
      <c r="N21" s="240"/>
      <c r="O21" s="228"/>
      <c r="P21" s="225"/>
      <c r="Q21" s="222"/>
      <c r="R21" s="219"/>
      <c r="S21" s="215"/>
      <c r="T21" s="212"/>
      <c r="U21" s="210"/>
      <c r="V21" s="196"/>
      <c r="W21" s="187"/>
      <c r="X21" s="185"/>
      <c r="Y21" s="169"/>
      <c r="Z21" s="166"/>
      <c r="AA21" s="164"/>
      <c r="AB21" s="158"/>
      <c r="AC21" s="145"/>
      <c r="AD21" s="137"/>
      <c r="AE21" s="136"/>
      <c r="AF21" s="130"/>
      <c r="AG21" s="128"/>
      <c r="AH21" s="127"/>
      <c r="AI21" s="126"/>
      <c r="AJ21" s="125"/>
      <c r="AK21" s="123"/>
      <c r="AL21" s="122"/>
      <c r="AM21" s="120"/>
      <c r="AN21" s="118">
        <f>26784.85+1733358.77</f>
        <v>1760143.62</v>
      </c>
      <c r="AO21" s="109"/>
      <c r="AP21" s="108">
        <f>26784.85+904220.78</f>
        <v>931005.63</v>
      </c>
      <c r="AQ21" s="100">
        <f>2005726.49+33481.06</f>
        <v>2039207.55</v>
      </c>
      <c r="AR21" s="90">
        <v>47869.05</v>
      </c>
      <c r="AS21" s="88"/>
      <c r="AT21" s="68"/>
      <c r="AU21" s="68"/>
      <c r="AV21" s="68"/>
      <c r="AW21" s="68">
        <v>7651.46</v>
      </c>
      <c r="AX21" s="68"/>
      <c r="AY21" s="68"/>
      <c r="AZ21" s="68"/>
      <c r="BA21" s="68">
        <v>5100.97</v>
      </c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>
        <f>361806.95+136416.55+4292754.78</f>
        <v>4790978.28</v>
      </c>
      <c r="BN21" s="69">
        <f t="shared" si="3"/>
        <v>0</v>
      </c>
    </row>
    <row r="22" spans="2:68" ht="31.5" x14ac:dyDescent="0.25">
      <c r="B22" s="60">
        <v>19</v>
      </c>
      <c r="C22" s="61">
        <v>1216</v>
      </c>
      <c r="D22" s="9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>
        <v>34135.199999999997</v>
      </c>
      <c r="AR22" s="63"/>
      <c r="AS22" s="63">
        <f>196510.5+1722767.4</f>
        <v>1919277.9</v>
      </c>
      <c r="AT22" s="63"/>
      <c r="AU22" s="63"/>
      <c r="AV22" s="63"/>
      <c r="AW22" s="63"/>
      <c r="AX22" s="63"/>
      <c r="AY22" s="63"/>
      <c r="AZ22" s="63"/>
      <c r="BA22" s="63">
        <v>10890</v>
      </c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>
        <v>1964303.1</v>
      </c>
      <c r="BN22" s="64">
        <f t="shared" si="3"/>
        <v>0</v>
      </c>
    </row>
    <row r="23" spans="2:68" ht="15.75" x14ac:dyDescent="0.25">
      <c r="B23" s="65">
        <v>59</v>
      </c>
      <c r="C23" s="66">
        <v>101135</v>
      </c>
      <c r="D23" s="93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66"/>
      <c r="I23" s="261"/>
      <c r="J23" s="258"/>
      <c r="K23" s="254"/>
      <c r="L23" s="246"/>
      <c r="M23" s="242"/>
      <c r="N23" s="240"/>
      <c r="O23" s="228"/>
      <c r="P23" s="225"/>
      <c r="Q23" s="222"/>
      <c r="R23" s="219"/>
      <c r="S23" s="217">
        <f>7804415.49+5490730.48+490050+1295947.04</f>
        <v>15081143.010000002</v>
      </c>
      <c r="T23" s="212"/>
      <c r="U23" s="210">
        <v>8020954.29</v>
      </c>
      <c r="V23" s="196"/>
      <c r="W23" s="187"/>
      <c r="X23" s="185"/>
      <c r="Y23" s="169">
        <v>15790.5</v>
      </c>
      <c r="Z23" s="166"/>
      <c r="AA23" s="164"/>
      <c r="AB23" s="158"/>
      <c r="AC23" s="145"/>
      <c r="AD23" s="137"/>
      <c r="AE23" s="136"/>
      <c r="AF23" s="130">
        <v>93109.5</v>
      </c>
      <c r="AG23" s="128"/>
      <c r="AH23" s="127"/>
      <c r="AI23" s="126"/>
      <c r="AJ23" s="125"/>
      <c r="AK23" s="123"/>
      <c r="AL23" s="122"/>
      <c r="AM23" s="120"/>
      <c r="AN23" s="118"/>
      <c r="AO23" s="109"/>
      <c r="AP23" s="108"/>
      <c r="AQ23" s="100"/>
      <c r="AR23" s="90"/>
      <c r="AS23" s="88"/>
      <c r="AT23" s="68"/>
      <c r="AU23" s="68"/>
      <c r="AV23" s="68"/>
      <c r="AW23" s="68"/>
      <c r="AX23" s="68"/>
      <c r="AY23" s="68"/>
      <c r="AZ23" s="68"/>
      <c r="BA23" s="68">
        <f>96800+1645600</f>
        <v>1742400</v>
      </c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>
        <f>1742400+18690222.69</f>
        <v>20432622.690000001</v>
      </c>
      <c r="BN23" s="69">
        <f t="shared" si="3"/>
        <v>4520774.6099999994</v>
      </c>
    </row>
    <row r="24" spans="2:68" ht="15.75" x14ac:dyDescent="0.25">
      <c r="B24" s="60">
        <v>52</v>
      </c>
      <c r="C24" s="61">
        <v>101139</v>
      </c>
      <c r="D24" s="93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>
        <v>758158.56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>
        <v>655374.74</v>
      </c>
      <c r="AE24" s="63"/>
      <c r="AF24" s="63"/>
      <c r="AG24" s="63">
        <v>473987.58</v>
      </c>
      <c r="AH24" s="63">
        <v>1350327.26</v>
      </c>
      <c r="AI24" s="63"/>
      <c r="AJ24" s="63"/>
      <c r="AK24" s="63">
        <v>602805.02</v>
      </c>
      <c r="AL24" s="63">
        <v>359915.87</v>
      </c>
      <c r="AM24" s="63"/>
      <c r="AN24" s="63">
        <f>1084855.23-6343.1</f>
        <v>1078512.1299999999</v>
      </c>
      <c r="AO24" s="63"/>
      <c r="AP24" s="63">
        <v>910338.45</v>
      </c>
      <c r="AQ24" s="63">
        <v>293046.09999999998</v>
      </c>
      <c r="AR24" s="63"/>
      <c r="AS24" s="63"/>
      <c r="AT24" s="63"/>
      <c r="AU24" s="63"/>
      <c r="AV24" s="63"/>
      <c r="AW24" s="63">
        <v>701231.24</v>
      </c>
      <c r="AX24" s="63">
        <v>1091457.3899999999</v>
      </c>
      <c r="AY24" s="63">
        <v>5092.2</v>
      </c>
      <c r="AZ24" s="63">
        <v>427798.52</v>
      </c>
      <c r="BA24" s="63">
        <f>44874.59+2639.68</f>
        <v>47514.27</v>
      </c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>
        <f>1753633.07+6216052.12+785874.14</f>
        <v>8755559.3300000001</v>
      </c>
      <c r="BN24" s="64">
        <f t="shared" si="3"/>
        <v>0</v>
      </c>
    </row>
    <row r="25" spans="2:68" ht="31.5" x14ac:dyDescent="0.25">
      <c r="B25" s="65">
        <v>52</v>
      </c>
      <c r="C25" s="66">
        <v>101152</v>
      </c>
      <c r="D25" s="93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66"/>
      <c r="I25" s="261"/>
      <c r="J25" s="258"/>
      <c r="K25" s="254"/>
      <c r="L25" s="246"/>
      <c r="M25" s="242"/>
      <c r="N25" s="240"/>
      <c r="O25" s="228"/>
      <c r="P25" s="225"/>
      <c r="Q25" s="222"/>
      <c r="R25" s="219"/>
      <c r="S25" s="215"/>
      <c r="T25" s="212"/>
      <c r="U25" s="210"/>
      <c r="V25" s="196"/>
      <c r="W25" s="187"/>
      <c r="X25" s="185"/>
      <c r="Y25" s="169"/>
      <c r="Z25" s="166"/>
      <c r="AA25" s="164"/>
      <c r="AB25" s="158"/>
      <c r="AC25" s="145"/>
      <c r="AD25" s="137"/>
      <c r="AE25" s="136"/>
      <c r="AF25" s="130"/>
      <c r="AG25" s="128"/>
      <c r="AH25" s="127"/>
      <c r="AI25" s="126"/>
      <c r="AJ25" s="125"/>
      <c r="AK25" s="123"/>
      <c r="AL25" s="122">
        <v>4459468.4800000004</v>
      </c>
      <c r="AM25" s="120"/>
      <c r="AN25" s="118">
        <v>3721675.46</v>
      </c>
      <c r="AO25" s="109">
        <v>20691</v>
      </c>
      <c r="AP25" s="108">
        <v>3549313.4</v>
      </c>
      <c r="AQ25" s="100">
        <f>20691+20691</f>
        <v>41382</v>
      </c>
      <c r="AR25" s="90">
        <v>1851669.16</v>
      </c>
      <c r="AS25" s="88"/>
      <c r="AT25" s="68">
        <v>20691</v>
      </c>
      <c r="AU25" s="68">
        <v>940322.64</v>
      </c>
      <c r="AV25" s="68">
        <f>20691+1446397.62</f>
        <v>1467088.62</v>
      </c>
      <c r="AW25" s="68">
        <v>20691</v>
      </c>
      <c r="AX25" s="68">
        <v>1089444.99</v>
      </c>
      <c r="AY25" s="68">
        <v>4602.6000000000004</v>
      </c>
      <c r="AZ25" s="68">
        <f>31581+2740306.31</f>
        <v>2771887.31</v>
      </c>
      <c r="BA25" s="68">
        <v>567591.9</v>
      </c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>
        <f>6882320.06+13644199.5</f>
        <v>20526519.559999999</v>
      </c>
      <c r="BN25" s="69">
        <f t="shared" si="3"/>
        <v>0</v>
      </c>
    </row>
    <row r="26" spans="2:68" ht="31.5" x14ac:dyDescent="0.25">
      <c r="B26" s="65">
        <v>52</v>
      </c>
      <c r="C26" s="66">
        <v>101251</v>
      </c>
      <c r="D26" s="93" t="s">
        <v>113</v>
      </c>
      <c r="E26" s="67" t="s">
        <v>65</v>
      </c>
      <c r="F26" s="68">
        <v>8148556.5</v>
      </c>
      <c r="G26" s="63">
        <f t="shared" si="0"/>
        <v>21361.1</v>
      </c>
      <c r="H26" s="266"/>
      <c r="I26" s="261">
        <v>6332.1</v>
      </c>
      <c r="J26" s="258"/>
      <c r="K26" s="254"/>
      <c r="L26" s="246"/>
      <c r="M26" s="242"/>
      <c r="N26" s="240"/>
      <c r="O26" s="228"/>
      <c r="P26" s="225"/>
      <c r="Q26" s="222"/>
      <c r="R26" s="219"/>
      <c r="S26" s="215"/>
      <c r="T26" s="212"/>
      <c r="U26" s="210"/>
      <c r="V26" s="196"/>
      <c r="W26" s="187"/>
      <c r="X26" s="185"/>
      <c r="Y26" s="169"/>
      <c r="Z26" s="166"/>
      <c r="AA26" s="164"/>
      <c r="AB26" s="158"/>
      <c r="AC26" s="145"/>
      <c r="AD26" s="137"/>
      <c r="AE26" s="136"/>
      <c r="AF26" s="130"/>
      <c r="AG26" s="128"/>
      <c r="AH26" s="127"/>
      <c r="AI26" s="126"/>
      <c r="AJ26" s="125"/>
      <c r="AK26" s="123"/>
      <c r="AL26" s="122"/>
      <c r="AM26" s="120"/>
      <c r="AN26" s="118"/>
      <c r="AO26" s="109"/>
      <c r="AP26" s="108"/>
      <c r="AQ26" s="100"/>
      <c r="AR26" s="90"/>
      <c r="AS26" s="88"/>
      <c r="AT26" s="68">
        <v>8349.6</v>
      </c>
      <c r="AU26" s="68"/>
      <c r="AV26" s="68"/>
      <c r="AW26" s="68"/>
      <c r="AX26" s="68"/>
      <c r="AY26" s="68"/>
      <c r="AZ26" s="68"/>
      <c r="BA26" s="68">
        <v>6679.4</v>
      </c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9">
        <f t="shared" si="3"/>
        <v>21361.1</v>
      </c>
    </row>
    <row r="27" spans="2:68" ht="31.5" x14ac:dyDescent="0.25">
      <c r="B27" s="65">
        <v>52</v>
      </c>
      <c r="C27" s="66">
        <v>101113</v>
      </c>
      <c r="D27" s="93" t="s">
        <v>113</v>
      </c>
      <c r="E27" s="67" t="s">
        <v>66</v>
      </c>
      <c r="F27" s="68">
        <v>7222500.7999999998</v>
      </c>
      <c r="G27" s="63">
        <f t="shared" si="0"/>
        <v>2573957.7699999996</v>
      </c>
      <c r="H27" s="266"/>
      <c r="I27" s="261">
        <f>10959.01+2545450.76</f>
        <v>2556409.7699999996</v>
      </c>
      <c r="J27" s="258"/>
      <c r="K27" s="254"/>
      <c r="L27" s="246"/>
      <c r="M27" s="242"/>
      <c r="N27" s="240"/>
      <c r="O27" s="228"/>
      <c r="P27" s="225"/>
      <c r="Q27" s="222"/>
      <c r="R27" s="219"/>
      <c r="S27" s="215"/>
      <c r="T27" s="212"/>
      <c r="U27" s="210"/>
      <c r="V27" s="196"/>
      <c r="W27" s="187"/>
      <c r="X27" s="185"/>
      <c r="Y27" s="169"/>
      <c r="Z27" s="166"/>
      <c r="AA27" s="164"/>
      <c r="AB27" s="158"/>
      <c r="AC27" s="145"/>
      <c r="AD27" s="137"/>
      <c r="AE27" s="136"/>
      <c r="AF27" s="130"/>
      <c r="AG27" s="128"/>
      <c r="AH27" s="127"/>
      <c r="AI27" s="126"/>
      <c r="AJ27" s="125"/>
      <c r="AK27" s="123"/>
      <c r="AL27" s="122"/>
      <c r="AM27" s="120"/>
      <c r="AN27" s="118"/>
      <c r="AO27" s="109"/>
      <c r="AP27" s="108"/>
      <c r="AQ27" s="100"/>
      <c r="AR27" s="90"/>
      <c r="AS27" s="88"/>
      <c r="AT27" s="68">
        <v>9748.7999999999993</v>
      </c>
      <c r="AU27" s="68"/>
      <c r="AV27" s="68"/>
      <c r="AW27" s="68"/>
      <c r="AX27" s="68"/>
      <c r="AY27" s="68"/>
      <c r="AZ27" s="68"/>
      <c r="BA27" s="68">
        <v>7799.2</v>
      </c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9">
        <f t="shared" si="3"/>
        <v>2573957.7699999996</v>
      </c>
    </row>
    <row r="28" spans="2:68" ht="31.5" x14ac:dyDescent="0.25">
      <c r="B28" s="171">
        <v>52</v>
      </c>
      <c r="C28" s="66">
        <v>101255</v>
      </c>
      <c r="D28" s="175" t="s">
        <v>113</v>
      </c>
      <c r="E28" s="67" t="s">
        <v>67</v>
      </c>
      <c r="F28" s="172">
        <v>8159082.4000000004</v>
      </c>
      <c r="G28" s="63">
        <f t="shared" si="0"/>
        <v>7982417.8200000003</v>
      </c>
      <c r="H28" s="266"/>
      <c r="I28" s="261"/>
      <c r="J28" s="258"/>
      <c r="K28" s="254"/>
      <c r="L28" s="246"/>
      <c r="M28" s="242"/>
      <c r="N28" s="240"/>
      <c r="O28" s="228"/>
      <c r="P28" s="225"/>
      <c r="Q28" s="222"/>
      <c r="R28" s="219"/>
      <c r="S28" s="215"/>
      <c r="T28" s="212"/>
      <c r="U28" s="210">
        <f>7243.17+31954.26</f>
        <v>39197.43</v>
      </c>
      <c r="V28" s="196">
        <f>2263681.85+30623.99</f>
        <v>2294305.8400000003</v>
      </c>
      <c r="W28" s="187"/>
      <c r="X28" s="185">
        <v>3699408.56</v>
      </c>
      <c r="Y28" s="172">
        <v>1934202.59</v>
      </c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>
        <v>8502.2000000000007</v>
      </c>
      <c r="AU28" s="172"/>
      <c r="AV28" s="172"/>
      <c r="AW28" s="172"/>
      <c r="AX28" s="172"/>
      <c r="AY28" s="172"/>
      <c r="AZ28" s="172"/>
      <c r="BA28" s="172">
        <v>6801.2</v>
      </c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>
        <f>5720791.65+2261626.17</f>
        <v>7982417.8200000003</v>
      </c>
      <c r="BN28" s="173">
        <f t="shared" si="3"/>
        <v>0</v>
      </c>
      <c r="BP28" s="87"/>
    </row>
    <row r="29" spans="2:68" ht="31.5" x14ac:dyDescent="0.25">
      <c r="B29" s="60">
        <v>52</v>
      </c>
      <c r="C29" s="61">
        <v>101130</v>
      </c>
      <c r="D29" s="93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>
        <v>10390.09</v>
      </c>
      <c r="V29" s="63">
        <v>950.19</v>
      </c>
      <c r="W29" s="63"/>
      <c r="X29" s="63">
        <v>2575258.1800000002</v>
      </c>
      <c r="Y29" s="63">
        <f>22824.47+3138344.28+12731.1+22824.47</f>
        <v>3196724.3200000003</v>
      </c>
      <c r="Z29" s="63">
        <v>22824.47</v>
      </c>
      <c r="AA29" s="63">
        <v>3050540.05</v>
      </c>
      <c r="AB29" s="63"/>
      <c r="AC29" s="63"/>
      <c r="AD29" s="63">
        <v>20139.240000000002</v>
      </c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>
        <v>12077</v>
      </c>
      <c r="AU29" s="63"/>
      <c r="AV29" s="63"/>
      <c r="AW29" s="63"/>
      <c r="AX29" s="63"/>
      <c r="AY29" s="63"/>
      <c r="AZ29" s="63"/>
      <c r="BA29" s="63">
        <v>9662</v>
      </c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>
        <f>3208044.42+5690521.12</f>
        <v>8898565.5399999991</v>
      </c>
      <c r="BN29" s="64">
        <f t="shared" si="3"/>
        <v>0</v>
      </c>
    </row>
    <row r="30" spans="2:68" ht="15.75" x14ac:dyDescent="0.25">
      <c r="B30" s="171">
        <v>12</v>
      </c>
      <c r="C30" s="66">
        <v>1600</v>
      </c>
      <c r="D30" s="175" t="s">
        <v>114</v>
      </c>
      <c r="E30" s="67" t="s">
        <v>69</v>
      </c>
      <c r="F30" s="172">
        <v>148836202.09999999</v>
      </c>
      <c r="G30" s="63">
        <f t="shared" si="0"/>
        <v>35403642.129999995</v>
      </c>
      <c r="H30" s="266"/>
      <c r="I30" s="261"/>
      <c r="J30" s="258"/>
      <c r="K30" s="254"/>
      <c r="L30" s="246"/>
      <c r="M30" s="242"/>
      <c r="N30" s="240"/>
      <c r="O30" s="228"/>
      <c r="P30" s="225"/>
      <c r="Q30" s="222"/>
      <c r="R30" s="219"/>
      <c r="S30" s="215"/>
      <c r="T30" s="212"/>
      <c r="U30" s="210"/>
      <c r="V30" s="196"/>
      <c r="W30" s="187"/>
      <c r="X30" s="185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>
        <f>44745.3+17404837.93+9855.9</f>
        <v>17459439.129999999</v>
      </c>
      <c r="AZ30" s="172"/>
      <c r="BA30" s="172">
        <v>17944203</v>
      </c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>
        <v>35403642.130000003</v>
      </c>
      <c r="BN30" s="173">
        <f t="shared" si="3"/>
        <v>0</v>
      </c>
    </row>
    <row r="31" spans="2:68" ht="31.5" x14ac:dyDescent="0.25">
      <c r="B31" s="171">
        <v>19</v>
      </c>
      <c r="C31" s="66">
        <v>1204</v>
      </c>
      <c r="D31" s="170" t="s">
        <v>118</v>
      </c>
      <c r="E31" s="67" t="s">
        <v>89</v>
      </c>
      <c r="F31" s="172">
        <v>1814555.22</v>
      </c>
      <c r="G31" s="63">
        <f t="shared" si="0"/>
        <v>1726955.35</v>
      </c>
      <c r="H31" s="266"/>
      <c r="I31" s="261"/>
      <c r="J31" s="258"/>
      <c r="K31" s="254"/>
      <c r="L31" s="246"/>
      <c r="M31" s="242"/>
      <c r="N31" s="240"/>
      <c r="O31" s="228"/>
      <c r="P31" s="225"/>
      <c r="Q31" s="222"/>
      <c r="R31" s="219"/>
      <c r="S31" s="215"/>
      <c r="T31" s="212"/>
      <c r="U31" s="210"/>
      <c r="V31" s="196"/>
      <c r="W31" s="187"/>
      <c r="X31" s="185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>
        <v>4793.2299999999996</v>
      </c>
      <c r="AX31" s="172"/>
      <c r="AY31" s="172"/>
      <c r="AZ31" s="172">
        <f>1502273.87</f>
        <v>1502273.87</v>
      </c>
      <c r="BA31" s="172">
        <v>219888.25</v>
      </c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>
        <v>1726955.35</v>
      </c>
      <c r="BN31" s="173">
        <f t="shared" si="3"/>
        <v>0</v>
      </c>
    </row>
    <row r="32" spans="2:68" ht="15.75" x14ac:dyDescent="0.25">
      <c r="B32" s="171">
        <v>50</v>
      </c>
      <c r="C32" s="66">
        <v>100920</v>
      </c>
      <c r="D32" s="175" t="s">
        <v>113</v>
      </c>
      <c r="E32" s="67" t="s">
        <v>70</v>
      </c>
      <c r="F32" s="172">
        <v>80176109.400000006</v>
      </c>
      <c r="G32" s="63">
        <f t="shared" si="0"/>
        <v>77407352.390000001</v>
      </c>
      <c r="H32" s="266"/>
      <c r="I32" s="261"/>
      <c r="J32" s="258"/>
      <c r="K32" s="254"/>
      <c r="L32" s="246"/>
      <c r="M32" s="242"/>
      <c r="N32" s="240"/>
      <c r="O32" s="228"/>
      <c r="P32" s="225"/>
      <c r="Q32" s="222"/>
      <c r="R32" s="219"/>
      <c r="S32" s="215"/>
      <c r="T32" s="212"/>
      <c r="U32" s="210"/>
      <c r="V32" s="196">
        <v>4791.6000000000004</v>
      </c>
      <c r="W32" s="187">
        <v>29228.83</v>
      </c>
      <c r="X32" s="185">
        <f>39029.76+4083.75+547377.69</f>
        <v>590491.19999999995</v>
      </c>
      <c r="Y32" s="172">
        <f>39029.76+9583.2+8535033.89</f>
        <v>8583646.8500000015</v>
      </c>
      <c r="Z32" s="172">
        <f>2188605.92+39029.76</f>
        <v>2227635.6799999997</v>
      </c>
      <c r="AA32" s="172">
        <f>11979+3671639.43</f>
        <v>3683618.43</v>
      </c>
      <c r="AB32" s="172"/>
      <c r="AC32" s="172">
        <f>3671639.43+39029.76+9583.2</f>
        <v>3720252.39</v>
      </c>
      <c r="AD32" s="172"/>
      <c r="AE32" s="172">
        <v>1560775.22</v>
      </c>
      <c r="AF32" s="172"/>
      <c r="AG32" s="172"/>
      <c r="AH32" s="172"/>
      <c r="AI32" s="172"/>
      <c r="AJ32" s="172">
        <v>2395.8000000000002</v>
      </c>
      <c r="AK32" s="172">
        <f>17075.52+4791.6</f>
        <v>21867.120000000003</v>
      </c>
      <c r="AL32" s="172">
        <v>4413171.76</v>
      </c>
      <c r="AM32" s="172">
        <f>9583.2+39029.76</f>
        <v>48612.960000000006</v>
      </c>
      <c r="AN32" s="172">
        <f>39029.76+9515077.89+11979+306128.15</f>
        <v>9872214.8000000007</v>
      </c>
      <c r="AO32" s="172"/>
      <c r="AP32" s="172">
        <f>39029.76+9583.2+5077846.77</f>
        <v>5126459.7299999995</v>
      </c>
      <c r="AQ32" s="172"/>
      <c r="AR32" s="172">
        <f>39029.76+9583.2+27782426.64</f>
        <v>27831039.600000001</v>
      </c>
      <c r="AS32" s="172"/>
      <c r="AT32" s="172">
        <f>9531720.82+21954.24+11325.6+39029.76</f>
        <v>9604030.4199999999</v>
      </c>
      <c r="AU32" s="172"/>
      <c r="AV32" s="172"/>
      <c r="AW32" s="172"/>
      <c r="AX32" s="172">
        <v>52272</v>
      </c>
      <c r="AY32" s="172"/>
      <c r="AZ32" s="172"/>
      <c r="BA32" s="172">
        <v>34848</v>
      </c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>
        <f>37511649.75+19462855.04+20422307.66+10539.94</f>
        <v>77407352.390000001</v>
      </c>
      <c r="BN32" s="173">
        <f t="shared" si="3"/>
        <v>0</v>
      </c>
    </row>
    <row r="33" spans="2:68" ht="63.75" thickBot="1" x14ac:dyDescent="0.3">
      <c r="B33" s="70">
        <v>59</v>
      </c>
      <c r="C33" s="71">
        <v>101157</v>
      </c>
      <c r="D33" s="94" t="s">
        <v>113</v>
      </c>
      <c r="E33" s="72" t="s">
        <v>74</v>
      </c>
      <c r="F33" s="73">
        <v>16521356.92</v>
      </c>
      <c r="G33" s="73">
        <f>SUM(H33:BL33)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162"/>
      <c r="AB33" s="73"/>
      <c r="AC33" s="73"/>
      <c r="AD33" s="73"/>
      <c r="AE33" s="73"/>
      <c r="AF33" s="73"/>
      <c r="AG33" s="73"/>
      <c r="AH33" s="73"/>
      <c r="AI33" s="73"/>
      <c r="AJ33" s="73"/>
      <c r="AK33" s="73">
        <f>485694+341319.82+227345.08-24351.12</f>
        <v>1030007.7800000001</v>
      </c>
      <c r="AL33" s="73">
        <f>1131498+616472.01</f>
        <v>1747970.01</v>
      </c>
      <c r="AM33" s="73"/>
      <c r="AN33" s="73">
        <f>965426.4+25110+3201.66+72407.6+3243331.99+871116.15</f>
        <v>5180593.8000000007</v>
      </c>
      <c r="AO33" s="73">
        <v>1076306.6200000001</v>
      </c>
      <c r="AP33" s="73">
        <f>3243331.99+871116.15+72407.61</f>
        <v>4186855.75</v>
      </c>
      <c r="AQ33" s="73"/>
      <c r="AR33" s="73">
        <v>2088989.1</v>
      </c>
      <c r="AS33" s="73"/>
      <c r="AT33" s="73"/>
      <c r="AU33" s="73">
        <f>245922.85+14466.05+1269112.05+74653.65+19582.6+1151.9</f>
        <v>1624889.0999999999</v>
      </c>
      <c r="AV33" s="73"/>
      <c r="AW33" s="73"/>
      <c r="AX33" s="73">
        <f>256535.95+15090.35</f>
        <v>271626.3</v>
      </c>
      <c r="AY33" s="73"/>
      <c r="AZ33" s="73">
        <f>116459.35+6850.55</f>
        <v>123309.90000000001</v>
      </c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>
        <f>1770503.08+2049230.16+70426.37+13440388.75</f>
        <v>17330548.359999999</v>
      </c>
      <c r="BN33" s="74">
        <f t="shared" si="3"/>
        <v>0</v>
      </c>
    </row>
    <row r="34" spans="2:68" ht="32.25" thickTop="1" x14ac:dyDescent="0.25">
      <c r="B34" s="75">
        <v>19</v>
      </c>
      <c r="C34" s="76">
        <v>1208</v>
      </c>
      <c r="D34" s="176" t="s">
        <v>119</v>
      </c>
      <c r="E34" s="77" t="s">
        <v>72</v>
      </c>
      <c r="F34" s="78">
        <v>2790000</v>
      </c>
      <c r="G34" s="174">
        <f>SUM(H34:BL34)</f>
        <v>1797719.73</v>
      </c>
      <c r="H34" s="267"/>
      <c r="I34" s="262"/>
      <c r="J34" s="259"/>
      <c r="K34" s="255"/>
      <c r="L34" s="248"/>
      <c r="M34" s="243"/>
      <c r="N34" s="241"/>
      <c r="O34" s="229"/>
      <c r="P34" s="226"/>
      <c r="Q34" s="223"/>
      <c r="R34" s="220"/>
      <c r="S34" s="216"/>
      <c r="T34" s="213"/>
      <c r="U34" s="211"/>
      <c r="V34" s="197"/>
      <c r="W34" s="188"/>
      <c r="X34" s="186"/>
      <c r="Y34" s="78"/>
      <c r="Z34" s="78"/>
      <c r="AA34" s="177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>
        <v>1482639.27</v>
      </c>
      <c r="AY34" s="78"/>
      <c r="AZ34" s="78">
        <f>364580.96-49500.5</f>
        <v>315080.46000000002</v>
      </c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>
        <f>1725721.8+71997.93</f>
        <v>1797719.73</v>
      </c>
      <c r="BN34" s="79">
        <f>G34-BM34</f>
        <v>0</v>
      </c>
    </row>
    <row r="35" spans="2:68" ht="15.75" x14ac:dyDescent="0.25">
      <c r="B35" s="60">
        <v>12</v>
      </c>
      <c r="C35" s="61">
        <v>1600</v>
      </c>
      <c r="D35" s="93" t="s">
        <v>114</v>
      </c>
      <c r="E35" s="62" t="s">
        <v>75</v>
      </c>
      <c r="F35" s="63">
        <v>32403507.600000001</v>
      </c>
      <c r="G35" s="63">
        <f>SUM(H35:BL35)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160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>
        <v>14033.92</v>
      </c>
      <c r="AY35" s="63">
        <v>1762524.47</v>
      </c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>
        <v>1776558.39</v>
      </c>
      <c r="BN35" s="64">
        <f>G35-BM35</f>
        <v>0</v>
      </c>
    </row>
    <row r="36" spans="2:68" ht="31.5" x14ac:dyDescent="0.25">
      <c r="B36" s="60">
        <v>19</v>
      </c>
      <c r="C36" s="61">
        <v>1106</v>
      </c>
      <c r="D36" s="97" t="s">
        <v>120</v>
      </c>
      <c r="E36" s="62" t="s">
        <v>76</v>
      </c>
      <c r="F36" s="63">
        <v>4107684.97</v>
      </c>
      <c r="G36" s="63">
        <f t="shared" ref="G36:G39" si="4">SUM(H36:BL36)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160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>
        <v>682986.07</v>
      </c>
      <c r="AN36" s="63"/>
      <c r="AO36" s="63">
        <v>794014.2</v>
      </c>
      <c r="AP36" s="63">
        <v>491514.3</v>
      </c>
      <c r="AQ36" s="63">
        <f>483652.8</f>
        <v>483652.8</v>
      </c>
      <c r="AR36" s="63">
        <v>133947</v>
      </c>
      <c r="AS36" s="63">
        <v>10890</v>
      </c>
      <c r="AT36" s="63"/>
      <c r="AU36" s="63">
        <v>412731</v>
      </c>
      <c r="AV36" s="63">
        <v>387200.7</v>
      </c>
      <c r="AW36" s="63"/>
      <c r="AX36" s="63"/>
      <c r="AY36" s="63">
        <v>10890</v>
      </c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>
        <f>3333892.44+73933.63</f>
        <v>3407826.07</v>
      </c>
      <c r="BN36" s="64">
        <f t="shared" ref="BN36:BN46" si="5">G36-BM36</f>
        <v>0</v>
      </c>
    </row>
    <row r="37" spans="2:68" ht="47.25" x14ac:dyDescent="0.25">
      <c r="B37" s="65">
        <v>19</v>
      </c>
      <c r="C37" s="66">
        <v>1205</v>
      </c>
      <c r="D37" s="91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66"/>
      <c r="I37" s="261"/>
      <c r="J37" s="258"/>
      <c r="K37" s="254"/>
      <c r="L37" s="246"/>
      <c r="M37" s="242"/>
      <c r="N37" s="240"/>
      <c r="O37" s="228"/>
      <c r="P37" s="225"/>
      <c r="Q37" s="222"/>
      <c r="R37" s="219"/>
      <c r="S37" s="215"/>
      <c r="T37" s="212"/>
      <c r="U37" s="210"/>
      <c r="V37" s="196"/>
      <c r="W37" s="187"/>
      <c r="X37" s="185"/>
      <c r="Y37" s="169"/>
      <c r="Z37" s="166"/>
      <c r="AA37" s="161"/>
      <c r="AB37" s="158"/>
      <c r="AC37" s="145"/>
      <c r="AD37" s="137"/>
      <c r="AE37" s="136"/>
      <c r="AF37" s="130"/>
      <c r="AG37" s="128"/>
      <c r="AH37" s="127"/>
      <c r="AI37" s="126"/>
      <c r="AJ37" s="125"/>
      <c r="AK37" s="123"/>
      <c r="AL37" s="122"/>
      <c r="AM37" s="120">
        <v>49549.5</v>
      </c>
      <c r="AN37" s="118"/>
      <c r="AO37" s="109">
        <v>43549.2</v>
      </c>
      <c r="AP37" s="108">
        <v>69794.100000000006</v>
      </c>
      <c r="AQ37" s="100"/>
      <c r="AR37" s="90">
        <f>194441.4+1486485</f>
        <v>1680926.4</v>
      </c>
      <c r="AS37" s="88">
        <v>114300</v>
      </c>
      <c r="AT37" s="68"/>
      <c r="AU37" s="68">
        <v>27225</v>
      </c>
      <c r="AV37" s="68"/>
      <c r="AW37" s="68"/>
      <c r="AX37" s="68"/>
      <c r="AY37" s="68">
        <v>411609.59999999998</v>
      </c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>
        <v>2396953.7999999998</v>
      </c>
      <c r="BN37" s="69">
        <f t="shared" si="5"/>
        <v>0</v>
      </c>
    </row>
    <row r="38" spans="2:68" ht="31.5" x14ac:dyDescent="0.25">
      <c r="B38" s="65">
        <v>59</v>
      </c>
      <c r="C38" s="66">
        <v>101156</v>
      </c>
      <c r="D38" s="93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66"/>
      <c r="I38" s="261"/>
      <c r="J38" s="258"/>
      <c r="K38" s="254"/>
      <c r="L38" s="246"/>
      <c r="M38" s="242"/>
      <c r="N38" s="240"/>
      <c r="O38" s="228"/>
      <c r="P38" s="225"/>
      <c r="Q38" s="222"/>
      <c r="R38" s="219"/>
      <c r="S38" s="215"/>
      <c r="T38" s="212"/>
      <c r="U38" s="210"/>
      <c r="V38" s="196"/>
      <c r="W38" s="187"/>
      <c r="X38" s="185"/>
      <c r="Y38" s="169"/>
      <c r="Z38" s="166"/>
      <c r="AA38" s="161"/>
      <c r="AB38" s="158"/>
      <c r="AC38" s="145"/>
      <c r="AD38" s="137"/>
      <c r="AE38" s="136"/>
      <c r="AF38" s="130"/>
      <c r="AG38" s="128"/>
      <c r="AH38" s="127"/>
      <c r="AI38" s="126"/>
      <c r="AJ38" s="125"/>
      <c r="AK38" s="123"/>
      <c r="AL38" s="122">
        <v>19071.66</v>
      </c>
      <c r="AM38" s="120">
        <v>3967247.7</v>
      </c>
      <c r="AN38" s="118"/>
      <c r="AO38" s="109">
        <v>1467177.03</v>
      </c>
      <c r="AP38" s="108">
        <v>1753330.04</v>
      </c>
      <c r="AQ38" s="100">
        <f>62204.4+22500+1542820.07+407873.7</f>
        <v>2035398.17</v>
      </c>
      <c r="AR38" s="90">
        <v>20364.3</v>
      </c>
      <c r="AS38" s="88"/>
      <c r="AT38" s="68">
        <f>112679.2+1915546.4+4385+74545</f>
        <v>2107155.5999999996</v>
      </c>
      <c r="AU38" s="68">
        <f>1197.9+20364.3</f>
        <v>21562.2</v>
      </c>
      <c r="AV38" s="68"/>
      <c r="AW38" s="68">
        <v>283959</v>
      </c>
      <c r="AX38" s="68">
        <v>383205.6</v>
      </c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>
        <f>2574752.58+9109869.51+373849.21</f>
        <v>12058471.300000001</v>
      </c>
      <c r="BN38" s="69">
        <f t="shared" si="5"/>
        <v>0</v>
      </c>
      <c r="BP38" s="99"/>
    </row>
    <row r="39" spans="2:68" ht="31.5" x14ac:dyDescent="0.25">
      <c r="B39" s="65">
        <v>19</v>
      </c>
      <c r="C39" s="66">
        <v>1142</v>
      </c>
      <c r="D39" s="91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66"/>
      <c r="I39" s="261"/>
      <c r="J39" s="258"/>
      <c r="K39" s="254"/>
      <c r="L39" s="246"/>
      <c r="M39" s="242"/>
      <c r="N39" s="240"/>
      <c r="O39" s="228"/>
      <c r="P39" s="225"/>
      <c r="Q39" s="222"/>
      <c r="R39" s="219"/>
      <c r="S39" s="215"/>
      <c r="T39" s="212"/>
      <c r="U39" s="210"/>
      <c r="V39" s="196"/>
      <c r="W39" s="187"/>
      <c r="X39" s="185"/>
      <c r="Y39" s="169"/>
      <c r="Z39" s="166"/>
      <c r="AA39" s="161"/>
      <c r="AB39" s="158"/>
      <c r="AC39" s="145"/>
      <c r="AD39" s="137"/>
      <c r="AE39" s="136"/>
      <c r="AF39" s="130"/>
      <c r="AG39" s="128"/>
      <c r="AH39" s="127"/>
      <c r="AI39" s="126"/>
      <c r="AJ39" s="125"/>
      <c r="AK39" s="123"/>
      <c r="AL39" s="122"/>
      <c r="AM39" s="120"/>
      <c r="AN39" s="118"/>
      <c r="AO39" s="109">
        <v>3424460.4</v>
      </c>
      <c r="AP39" s="108"/>
      <c r="AQ39" s="100"/>
      <c r="AR39" s="90"/>
      <c r="AS39" s="88">
        <v>432432.9</v>
      </c>
      <c r="AT39" s="68"/>
      <c r="AU39" s="68"/>
      <c r="AV39" s="68"/>
      <c r="AW39" s="68"/>
      <c r="AX39" s="68">
        <v>371658.6</v>
      </c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>
        <f>4057328.79+171223.11</f>
        <v>4228551.9000000004</v>
      </c>
      <c r="BN39" s="69">
        <f t="shared" si="5"/>
        <v>0</v>
      </c>
    </row>
    <row r="40" spans="2:68" ht="24.95" customHeight="1" x14ac:dyDescent="0.25">
      <c r="B40" s="292">
        <v>52</v>
      </c>
      <c r="C40" s="66">
        <v>101050</v>
      </c>
      <c r="D40" s="296" t="s">
        <v>113</v>
      </c>
      <c r="E40" s="290" t="s">
        <v>82</v>
      </c>
      <c r="F40" s="276">
        <v>6250335.1500000004</v>
      </c>
      <c r="G40" s="276">
        <f>SUM(H40:BL41)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160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>
        <f>380530.4+2976+8228</f>
        <v>391734.4</v>
      </c>
      <c r="AP40" s="63">
        <v>525921.6</v>
      </c>
      <c r="AQ40" s="63">
        <v>93748.4</v>
      </c>
      <c r="AR40" s="63">
        <v>2980</v>
      </c>
      <c r="AS40" s="63">
        <f>15488-4719</f>
        <v>10769</v>
      </c>
      <c r="AT40" s="68">
        <f>3280+1017982.4+444381.6-444381.6</f>
        <v>1021262.4</v>
      </c>
      <c r="AU40" s="68"/>
      <c r="AV40" s="68">
        <f>1235620+7200</f>
        <v>1242820</v>
      </c>
      <c r="AW40" s="68"/>
      <c r="AX40" s="68">
        <f>544272.4+7200</f>
        <v>551472.4</v>
      </c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276">
        <f>1870814.4+4275254.8</f>
        <v>6146069.1999999993</v>
      </c>
      <c r="BN40" s="274">
        <f>G40-BM40-BM41</f>
        <v>0</v>
      </c>
      <c r="BP40" s="87"/>
    </row>
    <row r="41" spans="2:68" ht="24.95" customHeight="1" x14ac:dyDescent="0.25">
      <c r="B41" s="293"/>
      <c r="C41" s="86">
        <v>100700</v>
      </c>
      <c r="D41" s="300"/>
      <c r="E41" s="291"/>
      <c r="F41" s="294"/>
      <c r="G41" s="294"/>
      <c r="H41" s="121"/>
      <c r="I41" s="121"/>
      <c r="J41" s="129"/>
      <c r="K41" s="129"/>
      <c r="L41" s="121"/>
      <c r="M41" s="121"/>
      <c r="N41" s="121"/>
      <c r="O41" s="129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63"/>
      <c r="AB41" s="121"/>
      <c r="AC41" s="121"/>
      <c r="AD41" s="121"/>
      <c r="AE41" s="121"/>
      <c r="AF41" s="129"/>
      <c r="AG41" s="129"/>
      <c r="AH41" s="121"/>
      <c r="AI41" s="121"/>
      <c r="AJ41" s="121"/>
      <c r="AK41" s="121"/>
      <c r="AL41" s="121"/>
      <c r="AM41" s="121"/>
      <c r="AN41" s="63"/>
      <c r="AO41" s="63">
        <f>670314.8+5176+8228</f>
        <v>683718.8</v>
      </c>
      <c r="AP41" s="63">
        <v>967986.8</v>
      </c>
      <c r="AQ41" s="63">
        <f>187044.8+6160</f>
        <v>193204.8</v>
      </c>
      <c r="AR41" s="90">
        <v>2480</v>
      </c>
      <c r="AS41" s="88">
        <f>6050+4719</f>
        <v>10769</v>
      </c>
      <c r="AT41" s="85">
        <f>2820+444381.6</f>
        <v>447201.6</v>
      </c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277"/>
      <c r="BN41" s="280"/>
    </row>
    <row r="42" spans="2:68" ht="31.5" x14ac:dyDescent="0.25">
      <c r="B42" s="65">
        <v>19</v>
      </c>
      <c r="C42" s="66">
        <v>1136</v>
      </c>
      <c r="D42" s="91" t="s">
        <v>123</v>
      </c>
      <c r="E42" s="67" t="s">
        <v>83</v>
      </c>
      <c r="F42" s="68">
        <v>3135292.13</v>
      </c>
      <c r="G42" s="63">
        <f>SUM(H42:BL42)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160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120"/>
      <c r="AN42" s="118"/>
      <c r="AO42" s="109"/>
      <c r="AP42" s="108"/>
      <c r="AQ42" s="100">
        <v>2123550</v>
      </c>
      <c r="AR42" s="90"/>
      <c r="AS42" s="88">
        <v>485370</v>
      </c>
      <c r="AT42" s="68"/>
      <c r="AU42" s="68"/>
      <c r="AV42" s="68"/>
      <c r="AW42" s="68">
        <v>10890</v>
      </c>
      <c r="AX42" s="68">
        <v>62189.279999999999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>
        <f>2575821.78+106177.5</f>
        <v>2681999.2799999998</v>
      </c>
      <c r="BN42" s="69">
        <f t="shared" si="5"/>
        <v>0</v>
      </c>
    </row>
    <row r="43" spans="2:68" ht="31.5" x14ac:dyDescent="0.25">
      <c r="B43" s="65">
        <v>19</v>
      </c>
      <c r="C43" s="66">
        <v>1108</v>
      </c>
      <c r="D43" s="91" t="s">
        <v>124</v>
      </c>
      <c r="E43" s="67" t="s">
        <v>84</v>
      </c>
      <c r="F43" s="68">
        <v>4005925.58</v>
      </c>
      <c r="G43" s="63">
        <f t="shared" ref="G43:G59" si="6">SUM(H43:BL43)</f>
        <v>3045540.66</v>
      </c>
      <c r="H43" s="266"/>
      <c r="I43" s="261"/>
      <c r="J43" s="258"/>
      <c r="K43" s="254"/>
      <c r="L43" s="246"/>
      <c r="M43" s="242"/>
      <c r="N43" s="240"/>
      <c r="O43" s="228"/>
      <c r="P43" s="225"/>
      <c r="Q43" s="222"/>
      <c r="R43" s="219"/>
      <c r="S43" s="215"/>
      <c r="T43" s="212"/>
      <c r="U43" s="210"/>
      <c r="V43" s="196"/>
      <c r="W43" s="187"/>
      <c r="X43" s="185"/>
      <c r="Y43" s="169"/>
      <c r="Z43" s="166"/>
      <c r="AA43" s="161"/>
      <c r="AB43" s="158"/>
      <c r="AC43" s="145"/>
      <c r="AD43" s="137"/>
      <c r="AE43" s="136"/>
      <c r="AF43" s="130"/>
      <c r="AG43" s="128"/>
      <c r="AH43" s="127"/>
      <c r="AI43" s="126"/>
      <c r="AJ43" s="125"/>
      <c r="AK43" s="123"/>
      <c r="AL43" s="122"/>
      <c r="AM43" s="120"/>
      <c r="AN43" s="118">
        <v>818658.81</v>
      </c>
      <c r="AO43" s="109">
        <v>173035.57</v>
      </c>
      <c r="AP43" s="108">
        <v>255302.91</v>
      </c>
      <c r="AQ43" s="100">
        <v>69804.899999999994</v>
      </c>
      <c r="AR43" s="90">
        <v>1050090.3</v>
      </c>
      <c r="AS43" s="88">
        <f>569533.01+10890</f>
        <v>580423.01</v>
      </c>
      <c r="AT43" s="68"/>
      <c r="AU43" s="68"/>
      <c r="AV43" s="68">
        <v>87335.16</v>
      </c>
      <c r="AW43" s="68"/>
      <c r="AX43" s="68">
        <v>10890</v>
      </c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>
        <v>3045540.66</v>
      </c>
      <c r="BN43" s="69">
        <f t="shared" si="5"/>
        <v>0</v>
      </c>
    </row>
    <row r="44" spans="2:68" ht="31.5" x14ac:dyDescent="0.25">
      <c r="B44" s="65">
        <v>59</v>
      </c>
      <c r="C44" s="66">
        <v>101154</v>
      </c>
      <c r="D44" s="93" t="s">
        <v>113</v>
      </c>
      <c r="E44" s="67" t="s">
        <v>86</v>
      </c>
      <c r="F44" s="68">
        <v>10434308.4</v>
      </c>
      <c r="G44" s="63">
        <f t="shared" si="6"/>
        <v>7024123.5</v>
      </c>
      <c r="H44" s="266"/>
      <c r="I44" s="261"/>
      <c r="J44" s="258"/>
      <c r="K44" s="254"/>
      <c r="L44" s="246"/>
      <c r="M44" s="242"/>
      <c r="N44" s="240"/>
      <c r="O44" s="228"/>
      <c r="P44" s="225"/>
      <c r="Q44" s="222"/>
      <c r="R44" s="219"/>
      <c r="S44" s="215"/>
      <c r="T44" s="212"/>
      <c r="U44" s="210"/>
      <c r="V44" s="196"/>
      <c r="W44" s="187"/>
      <c r="X44" s="185"/>
      <c r="Y44" s="169"/>
      <c r="Z44" s="166"/>
      <c r="AA44" s="161"/>
      <c r="AB44" s="158"/>
      <c r="AC44" s="145"/>
      <c r="AD44" s="137"/>
      <c r="AE44" s="136"/>
      <c r="AF44" s="130"/>
      <c r="AG44" s="128"/>
      <c r="AH44" s="127"/>
      <c r="AI44" s="126"/>
      <c r="AJ44" s="125"/>
      <c r="AK44" s="124">
        <f>15246+3615371.1+352969.2+873337.57+22185.9+27116.1+3822.3+120922.2</f>
        <v>5030970.37</v>
      </c>
      <c r="AL44" s="122">
        <f>265924.8+12109.5</f>
        <v>278034.3</v>
      </c>
      <c r="AM44" s="120">
        <f>371186.1+148104</f>
        <v>519290.1</v>
      </c>
      <c r="AN44" s="118">
        <f>126147.6-871.2</f>
        <v>125276.40000000001</v>
      </c>
      <c r="AO44" s="109"/>
      <c r="AP44" s="108"/>
      <c r="AQ44" s="100">
        <f>669724.11+399085.82</f>
        <v>1068809.93</v>
      </c>
      <c r="AR44" s="90"/>
      <c r="AS44" s="88"/>
      <c r="AT44" s="68"/>
      <c r="AU44" s="68"/>
      <c r="AV44" s="68">
        <f>822.8+48.4</f>
        <v>871.19999999999993</v>
      </c>
      <c r="AW44" s="68">
        <f>822.8+48.4</f>
        <v>871.19999999999993</v>
      </c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>
        <v>7024123.5</v>
      </c>
      <c r="BN44" s="69">
        <f t="shared" si="5"/>
        <v>0</v>
      </c>
    </row>
    <row r="45" spans="2:68" ht="31.5" x14ac:dyDescent="0.25">
      <c r="B45" s="65">
        <v>19</v>
      </c>
      <c r="C45" s="66">
        <v>1112</v>
      </c>
      <c r="D45" s="91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66"/>
      <c r="I45" s="261"/>
      <c r="J45" s="258"/>
      <c r="K45" s="254"/>
      <c r="L45" s="246"/>
      <c r="M45" s="242"/>
      <c r="N45" s="240"/>
      <c r="O45" s="228"/>
      <c r="P45" s="225"/>
      <c r="Q45" s="222"/>
      <c r="R45" s="219"/>
      <c r="S45" s="215"/>
      <c r="T45" s="212"/>
      <c r="U45" s="210"/>
      <c r="V45" s="196"/>
      <c r="W45" s="187"/>
      <c r="X45" s="185"/>
      <c r="Y45" s="169"/>
      <c r="Z45" s="166"/>
      <c r="AA45" s="161"/>
      <c r="AB45" s="158"/>
      <c r="AC45" s="145"/>
      <c r="AD45" s="137"/>
      <c r="AE45" s="136"/>
      <c r="AF45" s="130"/>
      <c r="AG45" s="128"/>
      <c r="AH45" s="127"/>
      <c r="AI45" s="126"/>
      <c r="AJ45" s="125"/>
      <c r="AK45" s="123"/>
      <c r="AL45" s="122"/>
      <c r="AM45" s="120"/>
      <c r="AN45" s="118">
        <f>289965.6-4356</f>
        <v>285609.59999999998</v>
      </c>
      <c r="AO45" s="109">
        <v>20745.45</v>
      </c>
      <c r="AP45" s="108">
        <v>438104.7</v>
      </c>
      <c r="AQ45" s="100"/>
      <c r="AR45" s="90"/>
      <c r="AS45" s="88">
        <v>635540.4</v>
      </c>
      <c r="AT45" s="68"/>
      <c r="AU45" s="68">
        <v>686693.7</v>
      </c>
      <c r="AV45" s="68"/>
      <c r="AW45" s="68">
        <v>21780</v>
      </c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>
        <f>2030103.45+58370.4</f>
        <v>2088473.8499999999</v>
      </c>
      <c r="BN45" s="69">
        <f t="shared" si="5"/>
        <v>0</v>
      </c>
    </row>
    <row r="46" spans="2:68" ht="31.5" x14ac:dyDescent="0.25">
      <c r="B46" s="65">
        <v>19</v>
      </c>
      <c r="C46" s="66">
        <v>1208</v>
      </c>
      <c r="D46" s="91" t="s">
        <v>119</v>
      </c>
      <c r="E46" s="67" t="s">
        <v>88</v>
      </c>
      <c r="F46" s="68">
        <v>2784542.4</v>
      </c>
      <c r="G46" s="63">
        <f t="shared" si="6"/>
        <v>2695117.1</v>
      </c>
      <c r="H46" s="266"/>
      <c r="I46" s="261"/>
      <c r="J46" s="258"/>
      <c r="K46" s="254"/>
      <c r="L46" s="246"/>
      <c r="M46" s="242"/>
      <c r="N46" s="240"/>
      <c r="O46" s="228"/>
      <c r="P46" s="225"/>
      <c r="Q46" s="222"/>
      <c r="R46" s="219"/>
      <c r="S46" s="215"/>
      <c r="T46" s="212"/>
      <c r="U46" s="210"/>
      <c r="V46" s="196"/>
      <c r="W46" s="187"/>
      <c r="X46" s="185"/>
      <c r="Y46" s="169"/>
      <c r="Z46" s="166"/>
      <c r="AA46" s="161"/>
      <c r="AB46" s="158"/>
      <c r="AC46" s="145"/>
      <c r="AD46" s="137"/>
      <c r="AE46" s="136"/>
      <c r="AF46" s="130"/>
      <c r="AG46" s="128"/>
      <c r="AH46" s="127"/>
      <c r="AI46" s="126"/>
      <c r="AJ46" s="125"/>
      <c r="AK46" s="123"/>
      <c r="AL46" s="122"/>
      <c r="AM46" s="120"/>
      <c r="AN46" s="118"/>
      <c r="AO46" s="109"/>
      <c r="AP46" s="108"/>
      <c r="AQ46" s="100"/>
      <c r="AR46" s="90"/>
      <c r="AS46" s="88"/>
      <c r="AT46" s="68"/>
      <c r="AU46" s="68"/>
      <c r="AV46" s="68">
        <v>1007216.1</v>
      </c>
      <c r="AW46" s="68">
        <v>1638400.5</v>
      </c>
      <c r="AX46" s="68"/>
      <c r="AY46" s="68"/>
      <c r="AZ46" s="68">
        <v>49500.5</v>
      </c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>
        <v>2695117.1</v>
      </c>
      <c r="BN46" s="69">
        <f t="shared" si="5"/>
        <v>0</v>
      </c>
    </row>
    <row r="47" spans="2:68" ht="31.5" x14ac:dyDescent="0.25">
      <c r="B47" s="65">
        <v>52</v>
      </c>
      <c r="C47" s="66">
        <v>101144</v>
      </c>
      <c r="D47" s="93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66"/>
      <c r="I47" s="261"/>
      <c r="J47" s="258"/>
      <c r="K47" s="254"/>
      <c r="L47" s="246"/>
      <c r="M47" s="242"/>
      <c r="N47" s="240"/>
      <c r="O47" s="228"/>
      <c r="P47" s="225"/>
      <c r="Q47" s="222"/>
      <c r="R47" s="219"/>
      <c r="S47" s="215"/>
      <c r="T47" s="212"/>
      <c r="U47" s="210"/>
      <c r="V47" s="196"/>
      <c r="W47" s="187"/>
      <c r="X47" s="185"/>
      <c r="Y47" s="169"/>
      <c r="Z47" s="166"/>
      <c r="AA47" s="161"/>
      <c r="AB47" s="158"/>
      <c r="AC47" s="145"/>
      <c r="AD47" s="137"/>
      <c r="AE47" s="136"/>
      <c r="AF47" s="130"/>
      <c r="AG47" s="128"/>
      <c r="AH47" s="127"/>
      <c r="AI47" s="126"/>
      <c r="AJ47" s="125"/>
      <c r="AK47" s="123"/>
      <c r="AL47" s="122">
        <v>1266686.74</v>
      </c>
      <c r="AM47" s="120"/>
      <c r="AN47" s="118"/>
      <c r="AO47" s="109">
        <v>4601678.4000000004</v>
      </c>
      <c r="AP47" s="108"/>
      <c r="AQ47" s="100">
        <v>35338.5</v>
      </c>
      <c r="AR47" s="90">
        <f>1256303.94+73900.23</f>
        <v>1330204.17</v>
      </c>
      <c r="AS47" s="88"/>
      <c r="AT47" s="68"/>
      <c r="AU47" s="68">
        <v>290705.71999999997</v>
      </c>
      <c r="AV47" s="68">
        <v>217003.5</v>
      </c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>
        <v>7741617.0300000003</v>
      </c>
      <c r="BN47" s="69">
        <f t="shared" ref="BN47:BN55" si="7">G47-BM47</f>
        <v>0</v>
      </c>
    </row>
    <row r="48" spans="2:68" ht="47.25" x14ac:dyDescent="0.25">
      <c r="B48" s="65">
        <v>19</v>
      </c>
      <c r="C48" s="66">
        <v>1133</v>
      </c>
      <c r="D48" s="91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66"/>
      <c r="I48" s="261"/>
      <c r="J48" s="258"/>
      <c r="K48" s="254"/>
      <c r="L48" s="246"/>
      <c r="M48" s="242"/>
      <c r="N48" s="240"/>
      <c r="O48" s="228"/>
      <c r="P48" s="225"/>
      <c r="Q48" s="222"/>
      <c r="R48" s="219"/>
      <c r="S48" s="215"/>
      <c r="T48" s="212"/>
      <c r="U48" s="210"/>
      <c r="V48" s="196"/>
      <c r="W48" s="187"/>
      <c r="X48" s="185"/>
      <c r="Y48" s="169"/>
      <c r="Z48" s="166"/>
      <c r="AA48" s="161"/>
      <c r="AB48" s="158"/>
      <c r="AC48" s="145"/>
      <c r="AD48" s="137"/>
      <c r="AE48" s="136"/>
      <c r="AF48" s="130"/>
      <c r="AG48" s="128"/>
      <c r="AH48" s="127"/>
      <c r="AI48" s="126"/>
      <c r="AJ48" s="125"/>
      <c r="AK48" s="123"/>
      <c r="AL48" s="122"/>
      <c r="AM48" s="120"/>
      <c r="AN48" s="118">
        <v>25895.32</v>
      </c>
      <c r="AO48" s="109"/>
      <c r="AP48" s="108"/>
      <c r="AQ48" s="100">
        <f>506123.95+428085.9</f>
        <v>934209.85000000009</v>
      </c>
      <c r="AR48" s="90"/>
      <c r="AS48" s="88"/>
      <c r="AT48" s="68"/>
      <c r="AU48" s="68"/>
      <c r="AV48" s="68">
        <v>930922.2</v>
      </c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>
        <v>1891027.37</v>
      </c>
      <c r="BN48" s="69">
        <f t="shared" si="7"/>
        <v>0</v>
      </c>
    </row>
    <row r="49" spans="2:68" ht="31.5" x14ac:dyDescent="0.25">
      <c r="B49" s="82">
        <v>19</v>
      </c>
      <c r="C49" s="66">
        <v>1700</v>
      </c>
      <c r="D49" s="96" t="s">
        <v>127</v>
      </c>
      <c r="E49" s="67" t="s">
        <v>93</v>
      </c>
      <c r="F49" s="83">
        <v>4497134.4000000004</v>
      </c>
      <c r="G49" s="63">
        <f t="shared" si="6"/>
        <v>2060475.1</v>
      </c>
      <c r="H49" s="266"/>
      <c r="I49" s="261"/>
      <c r="J49" s="258"/>
      <c r="K49" s="254"/>
      <c r="L49" s="246"/>
      <c r="M49" s="242"/>
      <c r="N49" s="240"/>
      <c r="O49" s="228"/>
      <c r="P49" s="225"/>
      <c r="Q49" s="222"/>
      <c r="R49" s="219"/>
      <c r="S49" s="215"/>
      <c r="T49" s="212"/>
      <c r="U49" s="210"/>
      <c r="V49" s="196"/>
      <c r="W49" s="187"/>
      <c r="X49" s="185"/>
      <c r="Y49" s="169"/>
      <c r="Z49" s="166"/>
      <c r="AA49" s="161"/>
      <c r="AB49" s="158"/>
      <c r="AC49" s="145"/>
      <c r="AD49" s="137"/>
      <c r="AE49" s="136"/>
      <c r="AF49" s="130"/>
      <c r="AG49" s="128"/>
      <c r="AH49" s="127"/>
      <c r="AI49" s="126"/>
      <c r="AJ49" s="125"/>
      <c r="AK49" s="123"/>
      <c r="AL49" s="122">
        <v>1574296.54</v>
      </c>
      <c r="AM49" s="120"/>
      <c r="AN49" s="118"/>
      <c r="AO49" s="109"/>
      <c r="AP49" s="108"/>
      <c r="AQ49" s="100"/>
      <c r="AR49" s="90"/>
      <c r="AS49" s="88"/>
      <c r="AT49" s="83"/>
      <c r="AU49" s="83"/>
      <c r="AV49" s="83">
        <v>486178.56</v>
      </c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>
        <v>2060475.1</v>
      </c>
      <c r="BN49" s="84">
        <f t="shared" si="7"/>
        <v>0</v>
      </c>
    </row>
    <row r="50" spans="2:68" ht="15.75" x14ac:dyDescent="0.25">
      <c r="B50" s="60">
        <v>59</v>
      </c>
      <c r="C50" s="61">
        <v>101160</v>
      </c>
      <c r="D50" s="93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160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>
        <v>203564.54</v>
      </c>
      <c r="AP50" s="63">
        <v>576872.26</v>
      </c>
      <c r="AQ50" s="63">
        <v>285214.5</v>
      </c>
      <c r="AR50" s="63">
        <f>315810+181982.7+197087.4+1437480+696905.55+4170559.5+380061+266805+2989305+209632.5+976500+364815+306009</f>
        <v>12492952.65</v>
      </c>
      <c r="AS50" s="63"/>
      <c r="AT50" s="63"/>
      <c r="AU50" s="63"/>
      <c r="AV50" s="63">
        <f>90145+1532465+174240+2962080</f>
        <v>4758930</v>
      </c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>
        <f>17251882.65+1065651.3</f>
        <v>18317533.949999999</v>
      </c>
      <c r="BN50" s="64">
        <f t="shared" si="7"/>
        <v>0</v>
      </c>
    </row>
    <row r="51" spans="2:68" ht="31.5" x14ac:dyDescent="0.25">
      <c r="B51" s="171">
        <v>52</v>
      </c>
      <c r="C51" s="66">
        <v>101155</v>
      </c>
      <c r="D51" s="175" t="s">
        <v>113</v>
      </c>
      <c r="E51" s="67" t="s">
        <v>101</v>
      </c>
      <c r="F51" s="172">
        <v>6148995.4800000004</v>
      </c>
      <c r="G51" s="63">
        <f t="shared" si="6"/>
        <v>6001336.6299999999</v>
      </c>
      <c r="H51" s="266"/>
      <c r="I51" s="261"/>
      <c r="J51" s="258"/>
      <c r="K51" s="254"/>
      <c r="L51" s="246"/>
      <c r="M51" s="242"/>
      <c r="N51" s="240"/>
      <c r="O51" s="228"/>
      <c r="P51" s="225"/>
      <c r="Q51" s="222"/>
      <c r="R51" s="219"/>
      <c r="S51" s="215"/>
      <c r="T51" s="212"/>
      <c r="U51" s="210"/>
      <c r="V51" s="196"/>
      <c r="W51" s="187"/>
      <c r="X51" s="185"/>
      <c r="Y51" s="172"/>
      <c r="Z51" s="172"/>
      <c r="AA51" s="161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>
        <v>1260000</v>
      </c>
      <c r="AM51" s="172">
        <v>688161.6</v>
      </c>
      <c r="AN51" s="172">
        <v>1144310.97</v>
      </c>
      <c r="AO51" s="172"/>
      <c r="AP51" s="172">
        <f>921842.26</f>
        <v>921842.26</v>
      </c>
      <c r="AQ51" s="172">
        <f>80803.8+261904.5+173151</f>
        <v>515859.3</v>
      </c>
      <c r="AR51" s="172"/>
      <c r="AS51" s="172"/>
      <c r="AT51" s="172">
        <v>1249387.2</v>
      </c>
      <c r="AU51" s="172">
        <v>221775.3</v>
      </c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>
        <v>6001336.6299999999</v>
      </c>
      <c r="BN51" s="173">
        <f t="shared" si="7"/>
        <v>0</v>
      </c>
    </row>
    <row r="52" spans="2:68" ht="31.5" x14ac:dyDescent="0.25">
      <c r="B52" s="60">
        <v>59</v>
      </c>
      <c r="C52" s="61">
        <v>101124</v>
      </c>
      <c r="D52" s="93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160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>
        <f>4232923.2+1611720+168492.11+1656545.42</f>
        <v>7669680.7300000004</v>
      </c>
      <c r="AM52" s="63"/>
      <c r="AN52" s="63">
        <f>4195787.26-2710953.78</f>
        <v>1484833.48</v>
      </c>
      <c r="AO52" s="63">
        <v>2710953.78</v>
      </c>
      <c r="AP52" s="63">
        <v>2710953.78</v>
      </c>
      <c r="AQ52" s="63">
        <f>5085951.46+299173.62+60783.63+3575.5+116483.7+6851.98</f>
        <v>5572819.8900000006</v>
      </c>
      <c r="AR52" s="63"/>
      <c r="AS52" s="63"/>
      <c r="AT52" s="63">
        <f>2895199.96+170305.88</f>
        <v>3065505.84</v>
      </c>
      <c r="AU52" s="63">
        <f>499337+29372.7</f>
        <v>528709.69999999995</v>
      </c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>
        <f>3594215.56+20149241.64</f>
        <v>23743457.199999999</v>
      </c>
      <c r="BN52" s="64">
        <f t="shared" si="7"/>
        <v>0</v>
      </c>
    </row>
    <row r="53" spans="2:68" ht="31.5" x14ac:dyDescent="0.25">
      <c r="B53" s="60">
        <v>52</v>
      </c>
      <c r="C53" s="61">
        <v>101018</v>
      </c>
      <c r="D53" s="93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160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>
        <v>17545.14</v>
      </c>
      <c r="AO53" s="63">
        <v>12100</v>
      </c>
      <c r="AP53" s="63">
        <v>1125645.06</v>
      </c>
      <c r="AQ53" s="63">
        <v>12100</v>
      </c>
      <c r="AR53" s="63">
        <v>12100</v>
      </c>
      <c r="AS53" s="63"/>
      <c r="AT53" s="63">
        <v>877969.75</v>
      </c>
      <c r="AU53" s="63">
        <v>12100</v>
      </c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>
        <f>943914.89+1105924.62+19720.44</f>
        <v>2069559.9500000002</v>
      </c>
      <c r="BN53" s="64">
        <f t="shared" si="7"/>
        <v>0</v>
      </c>
      <c r="BP53" s="87"/>
    </row>
    <row r="54" spans="2:68" ht="47.25" x14ac:dyDescent="0.25">
      <c r="B54" s="171">
        <v>52</v>
      </c>
      <c r="C54" s="66">
        <v>101151</v>
      </c>
      <c r="D54" s="175" t="s">
        <v>113</v>
      </c>
      <c r="E54" s="67" t="s">
        <v>100</v>
      </c>
      <c r="F54" s="172">
        <v>8811260.8399999999</v>
      </c>
      <c r="G54" s="63">
        <f t="shared" si="6"/>
        <v>4229684.08</v>
      </c>
      <c r="H54" s="266"/>
      <c r="I54" s="261"/>
      <c r="J54" s="258"/>
      <c r="K54" s="254"/>
      <c r="L54" s="246"/>
      <c r="M54" s="242"/>
      <c r="N54" s="240"/>
      <c r="O54" s="228"/>
      <c r="P54" s="225"/>
      <c r="Q54" s="222"/>
      <c r="R54" s="219"/>
      <c r="S54" s="215"/>
      <c r="T54" s="212"/>
      <c r="U54" s="210"/>
      <c r="V54" s="196"/>
      <c r="W54" s="187"/>
      <c r="X54" s="185"/>
      <c r="Y54" s="172"/>
      <c r="Z54" s="172"/>
      <c r="AA54" s="161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>
        <v>43200</v>
      </c>
      <c r="AM54" s="172"/>
      <c r="AN54" s="172">
        <f>10890+1352258.13</f>
        <v>1363148.13</v>
      </c>
      <c r="AO54" s="172"/>
      <c r="AP54" s="172">
        <f>21251.84+1073449.08</f>
        <v>1094700.9200000002</v>
      </c>
      <c r="AQ54" s="172">
        <f>817442.6+26565.07</f>
        <v>844007.66999999993</v>
      </c>
      <c r="AR54" s="172"/>
      <c r="AS54" s="172">
        <v>863375.53</v>
      </c>
      <c r="AT54" s="172"/>
      <c r="AU54" s="172">
        <v>21251.83</v>
      </c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>
        <v>4229684.08</v>
      </c>
      <c r="BN54" s="173">
        <f t="shared" si="7"/>
        <v>0</v>
      </c>
    </row>
    <row r="55" spans="2:68" ht="15.75" x14ac:dyDescent="0.25">
      <c r="B55" s="171">
        <v>50</v>
      </c>
      <c r="C55" s="66">
        <v>100931</v>
      </c>
      <c r="D55" s="175" t="s">
        <v>113</v>
      </c>
      <c r="E55" s="67" t="s">
        <v>97</v>
      </c>
      <c r="F55" s="172">
        <f>1794250.17+(25.495*1129713.15)</f>
        <v>30596286.929250002</v>
      </c>
      <c r="G55" s="63">
        <f t="shared" si="6"/>
        <v>30596286.93</v>
      </c>
      <c r="H55" s="266"/>
      <c r="I55" s="261"/>
      <c r="J55" s="258"/>
      <c r="K55" s="254"/>
      <c r="L55" s="246"/>
      <c r="M55" s="242"/>
      <c r="N55" s="240"/>
      <c r="O55" s="228"/>
      <c r="P55" s="225"/>
      <c r="Q55" s="222"/>
      <c r="R55" s="219"/>
      <c r="S55" s="215"/>
      <c r="T55" s="212"/>
      <c r="U55" s="210"/>
      <c r="V55" s="196"/>
      <c r="W55" s="187"/>
      <c r="X55" s="185"/>
      <c r="Y55" s="172"/>
      <c r="Z55" s="172"/>
      <c r="AA55" s="161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>
        <v>16287677.470000001</v>
      </c>
      <c r="AR55" s="172">
        <v>3854869.33</v>
      </c>
      <c r="AS55" s="172"/>
      <c r="AT55" s="172"/>
      <c r="AU55" s="172">
        <v>10453740.130000001</v>
      </c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>
        <v>30596286.93</v>
      </c>
      <c r="BN55" s="173">
        <f t="shared" si="7"/>
        <v>0</v>
      </c>
    </row>
    <row r="56" spans="2:68" ht="31.5" x14ac:dyDescent="0.25">
      <c r="B56" s="171">
        <v>52</v>
      </c>
      <c r="C56" s="66">
        <v>101133</v>
      </c>
      <c r="D56" s="175" t="s">
        <v>113</v>
      </c>
      <c r="E56" s="67" t="s">
        <v>99</v>
      </c>
      <c r="F56" s="172">
        <v>23562987.300000001</v>
      </c>
      <c r="G56" s="63">
        <f t="shared" si="6"/>
        <v>23239650.780000001</v>
      </c>
      <c r="H56" s="266"/>
      <c r="I56" s="261"/>
      <c r="J56" s="258"/>
      <c r="K56" s="254"/>
      <c r="L56" s="246"/>
      <c r="M56" s="242"/>
      <c r="N56" s="240"/>
      <c r="O56" s="228"/>
      <c r="P56" s="225"/>
      <c r="Q56" s="222"/>
      <c r="R56" s="219"/>
      <c r="S56" s="215"/>
      <c r="T56" s="212"/>
      <c r="U56" s="210"/>
      <c r="V56" s="196"/>
      <c r="W56" s="187"/>
      <c r="X56" s="185"/>
      <c r="Y56" s="172"/>
      <c r="Z56" s="172"/>
      <c r="AA56" s="161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>
        <v>2477315.7599999998</v>
      </c>
      <c r="AP56" s="172">
        <f>978424.93+9152922.73</f>
        <v>10131347.66</v>
      </c>
      <c r="AQ56" s="172"/>
      <c r="AR56" s="172">
        <v>9405532.6400000006</v>
      </c>
      <c r="AS56" s="172"/>
      <c r="AT56" s="172">
        <v>1225454.72</v>
      </c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>
        <v>23239650.780000001</v>
      </c>
      <c r="BN56" s="173">
        <f t="shared" ref="BN56:BN62" si="8">G56-BM56</f>
        <v>0</v>
      </c>
    </row>
    <row r="57" spans="2:68" ht="31.5" x14ac:dyDescent="0.25">
      <c r="B57" s="171">
        <v>52</v>
      </c>
      <c r="C57" s="66">
        <v>101123</v>
      </c>
      <c r="D57" s="175" t="s">
        <v>113</v>
      </c>
      <c r="E57" s="67" t="s">
        <v>107</v>
      </c>
      <c r="F57" s="172">
        <v>27427807.800000001</v>
      </c>
      <c r="G57" s="63">
        <f t="shared" si="6"/>
        <v>26548295.399999999</v>
      </c>
      <c r="H57" s="266"/>
      <c r="I57" s="261"/>
      <c r="J57" s="258"/>
      <c r="K57" s="254"/>
      <c r="L57" s="246"/>
      <c r="M57" s="242"/>
      <c r="N57" s="240"/>
      <c r="O57" s="228"/>
      <c r="P57" s="225"/>
      <c r="Q57" s="222"/>
      <c r="R57" s="219"/>
      <c r="S57" s="215"/>
      <c r="T57" s="212"/>
      <c r="U57" s="210"/>
      <c r="V57" s="196"/>
      <c r="W57" s="187"/>
      <c r="X57" s="185"/>
      <c r="Y57" s="172"/>
      <c r="Z57" s="172"/>
      <c r="AA57" s="161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>
        <v>26548295.399999999</v>
      </c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>
        <v>26548295.399999999</v>
      </c>
      <c r="BN57" s="173">
        <f t="shared" si="8"/>
        <v>0</v>
      </c>
    </row>
    <row r="58" spans="2:68" ht="31.5" x14ac:dyDescent="0.25">
      <c r="B58" s="171">
        <v>59</v>
      </c>
      <c r="C58" s="66">
        <v>101159</v>
      </c>
      <c r="D58" s="175" t="s">
        <v>113</v>
      </c>
      <c r="E58" s="67" t="s">
        <v>108</v>
      </c>
      <c r="F58" s="172">
        <v>7011841.5</v>
      </c>
      <c r="G58" s="63">
        <f t="shared" si="6"/>
        <v>5232409.37</v>
      </c>
      <c r="H58" s="266"/>
      <c r="I58" s="261"/>
      <c r="J58" s="258"/>
      <c r="K58" s="254"/>
      <c r="L58" s="246"/>
      <c r="M58" s="242"/>
      <c r="N58" s="240"/>
      <c r="O58" s="228"/>
      <c r="P58" s="225"/>
      <c r="Q58" s="222"/>
      <c r="R58" s="219"/>
      <c r="S58" s="215"/>
      <c r="T58" s="212"/>
      <c r="U58" s="210"/>
      <c r="V58" s="196"/>
      <c r="W58" s="187"/>
      <c r="X58" s="185"/>
      <c r="Y58" s="172"/>
      <c r="Z58" s="172"/>
      <c r="AA58" s="161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>
        <f>3725784.9+433613.66</f>
        <v>4159398.56</v>
      </c>
      <c r="AR58" s="172">
        <f>121423.5+897059.01</f>
        <v>1018482.51</v>
      </c>
      <c r="AS58" s="172">
        <f>3029.35+51498.95</f>
        <v>54528.299999999996</v>
      </c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>
        <f>951587.31+134128.26+4146693.8</f>
        <v>5232409.37</v>
      </c>
      <c r="BN58" s="173">
        <f t="shared" si="8"/>
        <v>0</v>
      </c>
    </row>
    <row r="59" spans="2:68" ht="31.5" x14ac:dyDescent="0.25">
      <c r="B59" s="60">
        <v>19</v>
      </c>
      <c r="C59" s="61">
        <v>1206</v>
      </c>
      <c r="D59" s="97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160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>
        <v>504807.3</v>
      </c>
      <c r="AM59" s="63"/>
      <c r="AN59" s="63"/>
      <c r="AO59" s="63"/>
      <c r="AP59" s="63">
        <v>41382</v>
      </c>
      <c r="AQ59" s="63">
        <v>2318007.5099999998</v>
      </c>
      <c r="AR59" s="63"/>
      <c r="AS59" s="63">
        <v>41382</v>
      </c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>
        <f>2564326.5+341252.31</f>
        <v>2905578.81</v>
      </c>
      <c r="BN59" s="64">
        <f t="shared" si="8"/>
        <v>0</v>
      </c>
    </row>
    <row r="60" spans="2:68" ht="63.75" thickBot="1" x14ac:dyDescent="0.3">
      <c r="B60" s="70">
        <v>19</v>
      </c>
      <c r="C60" s="71">
        <v>1127</v>
      </c>
      <c r="D60" s="178" t="s">
        <v>129</v>
      </c>
      <c r="E60" s="72" t="s">
        <v>106</v>
      </c>
      <c r="F60" s="73">
        <v>6813999</v>
      </c>
      <c r="G60" s="73">
        <f>SUM(H60:BL60)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162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>
        <v>3071578.5</v>
      </c>
      <c r="AN60" s="73"/>
      <c r="AO60" s="73"/>
      <c r="AP60" s="73"/>
      <c r="AQ60" s="73">
        <v>1719788</v>
      </c>
      <c r="AR60" s="73"/>
      <c r="AS60" s="73">
        <v>1501164.9</v>
      </c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>
        <v>6292531.4000000004</v>
      </c>
      <c r="BN60" s="74">
        <f t="shared" si="8"/>
        <v>0</v>
      </c>
    </row>
    <row r="61" spans="2:68" ht="32.25" thickTop="1" x14ac:dyDescent="0.25">
      <c r="B61" s="75">
        <v>52</v>
      </c>
      <c r="C61" s="76">
        <v>101140</v>
      </c>
      <c r="D61" s="95" t="s">
        <v>113</v>
      </c>
      <c r="E61" s="77" t="s">
        <v>110</v>
      </c>
      <c r="F61" s="78">
        <v>3674386.5</v>
      </c>
      <c r="G61" s="174">
        <f>SUM(H61:BL61)</f>
        <v>3115016.85</v>
      </c>
      <c r="H61" s="267"/>
      <c r="I61" s="262"/>
      <c r="J61" s="259"/>
      <c r="K61" s="255"/>
      <c r="L61" s="248"/>
      <c r="M61" s="243"/>
      <c r="N61" s="241"/>
      <c r="O61" s="229"/>
      <c r="P61" s="226"/>
      <c r="Q61" s="223"/>
      <c r="R61" s="220"/>
      <c r="S61" s="216"/>
      <c r="T61" s="213"/>
      <c r="U61" s="211"/>
      <c r="V61" s="197"/>
      <c r="W61" s="188"/>
      <c r="X61" s="186"/>
      <c r="Y61" s="78"/>
      <c r="Z61" s="78"/>
      <c r="AA61" s="177"/>
      <c r="AB61" s="78">
        <f>1512+101813.79</f>
        <v>103325.79</v>
      </c>
      <c r="AC61" s="78"/>
      <c r="AD61" s="78">
        <v>2268</v>
      </c>
      <c r="AE61" s="78">
        <f>2268+528701.04</f>
        <v>530969.04</v>
      </c>
      <c r="AF61" s="78">
        <v>309309.42</v>
      </c>
      <c r="AG61" s="78"/>
      <c r="AH61" s="78">
        <f>1014417.6+2268</f>
        <v>1016685.6</v>
      </c>
      <c r="AI61" s="78">
        <v>2268</v>
      </c>
      <c r="AJ61" s="78"/>
      <c r="AK61" s="78">
        <f>1115499+2268</f>
        <v>1117767</v>
      </c>
      <c r="AL61" s="78">
        <v>9324</v>
      </c>
      <c r="AM61" s="78"/>
      <c r="AN61" s="78"/>
      <c r="AO61" s="78"/>
      <c r="AP61" s="78"/>
      <c r="AQ61" s="78"/>
      <c r="AR61" s="78">
        <v>23100</v>
      </c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>
        <v>3115016.85</v>
      </c>
      <c r="BN61" s="79">
        <f t="shared" si="8"/>
        <v>0</v>
      </c>
    </row>
    <row r="62" spans="2:68" ht="15.75" x14ac:dyDescent="0.25">
      <c r="B62" s="103">
        <v>59</v>
      </c>
      <c r="C62" s="66">
        <v>101166</v>
      </c>
      <c r="D62" s="104" t="s">
        <v>113</v>
      </c>
      <c r="E62" s="67" t="s">
        <v>111</v>
      </c>
      <c r="F62" s="102">
        <v>4708034.0999999996</v>
      </c>
      <c r="G62" s="63">
        <f>SUM(H62:BL62)</f>
        <v>4262722.2</v>
      </c>
      <c r="H62" s="266"/>
      <c r="I62" s="261"/>
      <c r="J62" s="258"/>
      <c r="K62" s="254"/>
      <c r="L62" s="246"/>
      <c r="M62" s="242"/>
      <c r="N62" s="240"/>
      <c r="O62" s="228"/>
      <c r="P62" s="225"/>
      <c r="Q62" s="222"/>
      <c r="R62" s="219"/>
      <c r="S62" s="215"/>
      <c r="T62" s="212"/>
      <c r="U62" s="210"/>
      <c r="V62" s="196"/>
      <c r="W62" s="187"/>
      <c r="X62" s="185"/>
      <c r="Y62" s="169"/>
      <c r="Z62" s="166"/>
      <c r="AA62" s="161"/>
      <c r="AB62" s="158"/>
      <c r="AC62" s="145"/>
      <c r="AD62" s="137"/>
      <c r="AE62" s="135"/>
      <c r="AF62" s="130"/>
      <c r="AG62" s="128"/>
      <c r="AH62" s="127"/>
      <c r="AI62" s="126"/>
      <c r="AJ62" s="125"/>
      <c r="AK62" s="123"/>
      <c r="AL62" s="122"/>
      <c r="AM62" s="120"/>
      <c r="AN62" s="118"/>
      <c r="AO62" s="109"/>
      <c r="AP62" s="108"/>
      <c r="AQ62" s="102"/>
      <c r="AR62" s="102">
        <f>555390+3707332.2</f>
        <v>4262722.2</v>
      </c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>
        <v>4262722.2</v>
      </c>
      <c r="BN62" s="89">
        <f t="shared" si="8"/>
        <v>0</v>
      </c>
    </row>
    <row r="63" spans="2:68" ht="31.5" x14ac:dyDescent="0.25">
      <c r="B63" s="105">
        <v>59</v>
      </c>
      <c r="C63" s="66">
        <v>101258</v>
      </c>
      <c r="D63" s="107" t="s">
        <v>113</v>
      </c>
      <c r="E63" s="67" t="s">
        <v>131</v>
      </c>
      <c r="F63" s="106">
        <v>6289074</v>
      </c>
      <c r="G63" s="63">
        <f t="shared" ref="G63:G75" si="9">SUM(H63:BL63)</f>
        <v>6053436.120000001</v>
      </c>
      <c r="H63" s="266"/>
      <c r="I63" s="261"/>
      <c r="J63" s="258"/>
      <c r="K63" s="254"/>
      <c r="L63" s="246"/>
      <c r="M63" s="242"/>
      <c r="N63" s="240"/>
      <c r="O63" s="228"/>
      <c r="P63" s="225"/>
      <c r="Q63" s="222"/>
      <c r="R63" s="219"/>
      <c r="S63" s="215"/>
      <c r="T63" s="212"/>
      <c r="U63" s="210"/>
      <c r="V63" s="196"/>
      <c r="W63" s="187"/>
      <c r="X63" s="185"/>
      <c r="Y63" s="169"/>
      <c r="Z63" s="166"/>
      <c r="AA63" s="161"/>
      <c r="AB63" s="158"/>
      <c r="AC63" s="145"/>
      <c r="AD63" s="137"/>
      <c r="AE63" s="135"/>
      <c r="AF63" s="130"/>
      <c r="AG63" s="128"/>
      <c r="AH63" s="127"/>
      <c r="AI63" s="126"/>
      <c r="AJ63" s="125">
        <f>283857.3+233146.8+365313.53+420192.51</f>
        <v>1302510.1400000001</v>
      </c>
      <c r="AK63" s="123"/>
      <c r="AL63" s="122">
        <f>44226+44787.6+1413291.11+130510.05</f>
        <v>1632814.7600000002</v>
      </c>
      <c r="AM63" s="120">
        <v>1171868.3999999999</v>
      </c>
      <c r="AN63" s="118">
        <f>1259933.54+74052+139936.5+153298.8</f>
        <v>1627220.84</v>
      </c>
      <c r="AO63" s="109"/>
      <c r="AP63" s="108">
        <f>267227.13+51794.85</f>
        <v>319021.98</v>
      </c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>
        <v>6053436.1200000001</v>
      </c>
      <c r="BN63" s="101">
        <f>G63-BM63</f>
        <v>0</v>
      </c>
    </row>
    <row r="64" spans="2:68" ht="31.5" x14ac:dyDescent="0.25">
      <c r="B64" s="60">
        <v>52</v>
      </c>
      <c r="C64" s="61">
        <v>101252</v>
      </c>
      <c r="D64" s="93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160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>
        <v>1810574.5</v>
      </c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>
        <f>1810574.3+0.2</f>
        <v>1810574.5</v>
      </c>
      <c r="BN64" s="64">
        <f>G64-BM64</f>
        <v>0</v>
      </c>
    </row>
    <row r="65" spans="2:66" ht="47.25" x14ac:dyDescent="0.25">
      <c r="B65" s="60">
        <v>52</v>
      </c>
      <c r="C65" s="61">
        <v>101217</v>
      </c>
      <c r="D65" s="93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>
        <f>12903.4+5610.52</f>
        <v>18513.919999999998</v>
      </c>
      <c r="U65" s="63">
        <v>5610.52</v>
      </c>
      <c r="V65" s="63">
        <v>5610.52</v>
      </c>
      <c r="W65" s="63">
        <v>5610.52</v>
      </c>
      <c r="X65" s="63">
        <f>123043.99+11770.8</f>
        <v>134814.79</v>
      </c>
      <c r="Y65" s="63">
        <f>5610.52+2216284.41</f>
        <v>2221894.9300000002</v>
      </c>
      <c r="Z65" s="63"/>
      <c r="AA65" s="160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>
        <v>19387.34</v>
      </c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>
        <f>2392928.62+18513.92</f>
        <v>2411442.54</v>
      </c>
      <c r="BN65" s="64">
        <f t="shared" ref="BN65:BN76" si="10">G65-BM65</f>
        <v>0</v>
      </c>
    </row>
    <row r="66" spans="2:66" ht="47.25" x14ac:dyDescent="0.25">
      <c r="B66" s="112">
        <v>52</v>
      </c>
      <c r="C66" s="66">
        <v>101317</v>
      </c>
      <c r="D66" s="113" t="s">
        <v>113</v>
      </c>
      <c r="E66" s="67" t="s">
        <v>134</v>
      </c>
      <c r="F66" s="111">
        <v>2854682.6</v>
      </c>
      <c r="G66" s="63">
        <f t="shared" si="9"/>
        <v>2714078.9499999997</v>
      </c>
      <c r="H66" s="266"/>
      <c r="I66" s="261"/>
      <c r="J66" s="258"/>
      <c r="K66" s="254"/>
      <c r="L66" s="246"/>
      <c r="M66" s="242"/>
      <c r="N66" s="240"/>
      <c r="O66" s="228"/>
      <c r="P66" s="225"/>
      <c r="Q66" s="222"/>
      <c r="R66" s="219"/>
      <c r="S66" s="215"/>
      <c r="T66" s="214">
        <f>1696504.83+4201.05+3225.39</f>
        <v>1703931.27</v>
      </c>
      <c r="U66" s="210">
        <v>3225.39</v>
      </c>
      <c r="V66" s="196">
        <v>3225.39</v>
      </c>
      <c r="W66" s="187">
        <v>3225.39</v>
      </c>
      <c r="X66" s="185">
        <f>979337.57+5251.4</f>
        <v>984588.97</v>
      </c>
      <c r="Y66" s="169">
        <v>3225.39</v>
      </c>
      <c r="Z66" s="166"/>
      <c r="AA66" s="161"/>
      <c r="AB66" s="158"/>
      <c r="AC66" s="145"/>
      <c r="AD66" s="137"/>
      <c r="AE66" s="135"/>
      <c r="AF66" s="130"/>
      <c r="AG66" s="128"/>
      <c r="AH66" s="127"/>
      <c r="AI66" s="126"/>
      <c r="AJ66" s="125"/>
      <c r="AK66" s="123"/>
      <c r="AL66" s="122"/>
      <c r="AM66" s="120"/>
      <c r="AN66" s="118"/>
      <c r="AO66" s="111">
        <v>12657.15</v>
      </c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>
        <f>1010147.68+1703931.27</f>
        <v>2714078.95</v>
      </c>
      <c r="BN66" s="110">
        <f t="shared" si="10"/>
        <v>0</v>
      </c>
    </row>
    <row r="67" spans="2:66" ht="15.75" x14ac:dyDescent="0.25">
      <c r="B67" s="114">
        <v>59</v>
      </c>
      <c r="C67" s="66">
        <v>101240</v>
      </c>
      <c r="D67" s="116" t="s">
        <v>113</v>
      </c>
      <c r="E67" s="67" t="s">
        <v>137</v>
      </c>
      <c r="F67" s="115">
        <v>2250000</v>
      </c>
      <c r="G67" s="63">
        <f t="shared" si="9"/>
        <v>2176911</v>
      </c>
      <c r="H67" s="266"/>
      <c r="I67" s="261"/>
      <c r="J67" s="258"/>
      <c r="K67" s="254"/>
      <c r="L67" s="246"/>
      <c r="M67" s="242"/>
      <c r="N67" s="240"/>
      <c r="O67" s="228"/>
      <c r="P67" s="225"/>
      <c r="Q67" s="222"/>
      <c r="R67" s="219"/>
      <c r="S67" s="215"/>
      <c r="T67" s="214"/>
      <c r="U67" s="210"/>
      <c r="V67" s="196"/>
      <c r="W67" s="187"/>
      <c r="X67" s="185"/>
      <c r="Y67" s="169"/>
      <c r="Z67" s="166"/>
      <c r="AA67" s="161"/>
      <c r="AB67" s="158"/>
      <c r="AC67" s="145"/>
      <c r="AD67" s="137"/>
      <c r="AE67" s="135"/>
      <c r="AF67" s="130"/>
      <c r="AG67" s="128"/>
      <c r="AH67" s="127"/>
      <c r="AI67" s="126"/>
      <c r="AJ67" s="125"/>
      <c r="AK67" s="123"/>
      <c r="AL67" s="122"/>
      <c r="AM67" s="120"/>
      <c r="AN67" s="118">
        <v>2176911</v>
      </c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>
        <v>2176911</v>
      </c>
      <c r="BN67" s="110">
        <f t="shared" si="10"/>
        <v>0</v>
      </c>
    </row>
    <row r="68" spans="2:66" ht="31.5" x14ac:dyDescent="0.25">
      <c r="B68" s="131">
        <v>19</v>
      </c>
      <c r="C68" s="66">
        <v>1104</v>
      </c>
      <c r="D68" s="134" t="s">
        <v>138</v>
      </c>
      <c r="E68" s="67" t="s">
        <v>139</v>
      </c>
      <c r="F68" s="132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160"/>
      <c r="AB68" s="63"/>
      <c r="AC68" s="63"/>
      <c r="AD68" s="63"/>
      <c r="AE68" s="63"/>
      <c r="AF68" s="130"/>
      <c r="AG68" s="128"/>
      <c r="AH68" s="127"/>
      <c r="AI68" s="126"/>
      <c r="AJ68" s="125"/>
      <c r="AK68" s="123"/>
      <c r="AL68" s="122"/>
      <c r="AM68" s="120"/>
      <c r="AN68" s="132">
        <v>2335150.96</v>
      </c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>
        <v>2335150.96</v>
      </c>
      <c r="BN68" s="117">
        <f t="shared" si="10"/>
        <v>0</v>
      </c>
    </row>
    <row r="69" spans="2:66" ht="31.5" x14ac:dyDescent="0.25">
      <c r="B69" s="140">
        <v>59</v>
      </c>
      <c r="C69" s="141">
        <v>101234</v>
      </c>
      <c r="D69" s="142" t="s">
        <v>113</v>
      </c>
      <c r="E69" s="143" t="s">
        <v>149</v>
      </c>
      <c r="F69" s="144">
        <v>5288099.4000000004</v>
      </c>
      <c r="G69" s="63">
        <f t="shared" si="9"/>
        <v>5233649.1199999992</v>
      </c>
      <c r="H69" s="266"/>
      <c r="I69" s="261"/>
      <c r="J69" s="258"/>
      <c r="K69" s="254"/>
      <c r="L69" s="246"/>
      <c r="M69" s="242"/>
      <c r="N69" s="240"/>
      <c r="O69" s="228"/>
      <c r="P69" s="225"/>
      <c r="Q69" s="222"/>
      <c r="R69" s="219"/>
      <c r="S69" s="215"/>
      <c r="T69" s="214"/>
      <c r="U69" s="210"/>
      <c r="V69" s="196"/>
      <c r="W69" s="187"/>
      <c r="X69" s="185"/>
      <c r="Y69" s="169"/>
      <c r="Z69" s="166">
        <f>1797939+1135444.76</f>
        <v>2933383.76</v>
      </c>
      <c r="AA69" s="161"/>
      <c r="AB69" s="158"/>
      <c r="AC69" s="145"/>
      <c r="AD69" s="137"/>
      <c r="AE69" s="139"/>
      <c r="AF69" s="144">
        <v>2300265.36</v>
      </c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>
        <v>5233649.12</v>
      </c>
      <c r="BN69" s="133">
        <f t="shared" si="10"/>
        <v>0</v>
      </c>
    </row>
    <row r="70" spans="2:66" ht="31.5" x14ac:dyDescent="0.25">
      <c r="B70" s="146">
        <v>52</v>
      </c>
      <c r="C70" s="66">
        <v>101120</v>
      </c>
      <c r="D70" s="149" t="s">
        <v>113</v>
      </c>
      <c r="E70" s="67" t="s">
        <v>152</v>
      </c>
      <c r="F70" s="147">
        <v>4643348.5</v>
      </c>
      <c r="G70" s="63">
        <f t="shared" si="9"/>
        <v>4403185.8499999996</v>
      </c>
      <c r="H70" s="266"/>
      <c r="I70" s="261"/>
      <c r="J70" s="258"/>
      <c r="K70" s="254"/>
      <c r="L70" s="246"/>
      <c r="M70" s="242"/>
      <c r="N70" s="240"/>
      <c r="O70" s="228"/>
      <c r="P70" s="225"/>
      <c r="Q70" s="222"/>
      <c r="R70" s="221">
        <v>621635.9</v>
      </c>
      <c r="S70" s="215"/>
      <c r="T70" s="214">
        <v>1433011.4</v>
      </c>
      <c r="U70" s="210"/>
      <c r="V70" s="196">
        <v>223299.79</v>
      </c>
      <c r="W70" s="187">
        <v>10890</v>
      </c>
      <c r="X70" s="185"/>
      <c r="Y70" s="169">
        <v>1464519.3</v>
      </c>
      <c r="Z70" s="166">
        <v>384514.52</v>
      </c>
      <c r="AA70" s="161"/>
      <c r="AB70" s="158">
        <v>19239</v>
      </c>
      <c r="AC70" s="150">
        <v>227199.94</v>
      </c>
      <c r="AD70" s="147">
        <v>18876</v>
      </c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>
        <f>900299.45+1687819.07+1815067.33</f>
        <v>4403185.8499999996</v>
      </c>
      <c r="BN70" s="138">
        <f t="shared" si="10"/>
        <v>0</v>
      </c>
    </row>
    <row r="71" spans="2:66" ht="31.5" x14ac:dyDescent="0.25">
      <c r="B71" s="146">
        <v>52</v>
      </c>
      <c r="C71" s="66">
        <v>101225</v>
      </c>
      <c r="D71" s="149" t="s">
        <v>113</v>
      </c>
      <c r="E71" s="67" t="s">
        <v>157</v>
      </c>
      <c r="F71" s="147">
        <v>4236570.5</v>
      </c>
      <c r="G71" s="63">
        <f t="shared" si="9"/>
        <v>4064303.0700000003</v>
      </c>
      <c r="H71" s="266"/>
      <c r="I71" s="261"/>
      <c r="J71" s="258"/>
      <c r="K71" s="254"/>
      <c r="L71" s="246"/>
      <c r="M71" s="242"/>
      <c r="N71" s="240"/>
      <c r="O71" s="228"/>
      <c r="P71" s="225"/>
      <c r="Q71" s="222"/>
      <c r="R71" s="221"/>
      <c r="S71" s="215"/>
      <c r="T71" s="214"/>
      <c r="U71" s="210">
        <v>40930.879999999997</v>
      </c>
      <c r="V71" s="196">
        <v>17196.63</v>
      </c>
      <c r="W71" s="187"/>
      <c r="X71" s="185"/>
      <c r="Y71" s="169">
        <v>1933666.78</v>
      </c>
      <c r="Z71" s="166"/>
      <c r="AA71" s="161"/>
      <c r="AB71" s="158">
        <v>1301509.56</v>
      </c>
      <c r="AC71" s="150">
        <v>770999.22</v>
      </c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>
        <f>2179923.09+1884379.98</f>
        <v>4064303.07</v>
      </c>
      <c r="BN71" s="148">
        <f t="shared" si="10"/>
        <v>0</v>
      </c>
    </row>
    <row r="72" spans="2:66" ht="15.75" x14ac:dyDescent="0.25">
      <c r="B72" s="154">
        <v>50</v>
      </c>
      <c r="C72" s="66">
        <v>100919</v>
      </c>
      <c r="D72" s="151" t="s">
        <v>113</v>
      </c>
      <c r="E72" s="67" t="s">
        <v>154</v>
      </c>
      <c r="F72" s="153">
        <v>196323970.13999999</v>
      </c>
      <c r="G72" s="63">
        <f t="shared" si="9"/>
        <v>187374214.99000001</v>
      </c>
      <c r="H72" s="266"/>
      <c r="I72" s="261">
        <f>7309538.21+3519270.41+228562.77</f>
        <v>11057371.390000001</v>
      </c>
      <c r="J72" s="258"/>
      <c r="K72" s="254"/>
      <c r="L72" s="246"/>
      <c r="M72" s="242"/>
      <c r="N72" s="240"/>
      <c r="O72" s="228">
        <v>3360098.23</v>
      </c>
      <c r="P72" s="225"/>
      <c r="Q72" s="222">
        <f>15333.12+176418+73507.5</f>
        <v>265258.62</v>
      </c>
      <c r="R72" s="221">
        <v>14929221.720000001</v>
      </c>
      <c r="S72" s="217">
        <f>60840+15333.12</f>
        <v>76173.119999999995</v>
      </c>
      <c r="T72" s="214">
        <f>17249.76+73507.5+35498182.79</f>
        <v>35588940.049999997</v>
      </c>
      <c r="U72" s="210"/>
      <c r="V72" s="196">
        <f>73507.5+15942.96+39975189.29+17249.76</f>
        <v>40081889.509999998</v>
      </c>
      <c r="W72" s="187"/>
      <c r="X72" s="185">
        <f>73507.5+17249.76+26315683.85</f>
        <v>26406441.110000003</v>
      </c>
      <c r="Y72" s="169">
        <f>73507.5+15333.12+20771344.04</f>
        <v>20860184.66</v>
      </c>
      <c r="Z72" s="166">
        <v>20355811.93</v>
      </c>
      <c r="AA72" s="164">
        <f>17249.76+73507.5</f>
        <v>90757.26</v>
      </c>
      <c r="AB72" s="158"/>
      <c r="AC72" s="153">
        <f>19471.32+73507.5+14209088.57</f>
        <v>14302067.390000001</v>
      </c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>
        <v>89556815.060000002</v>
      </c>
      <c r="BN72" s="148">
        <f t="shared" si="10"/>
        <v>97817399.930000007</v>
      </c>
    </row>
    <row r="73" spans="2:66" ht="47.25" x14ac:dyDescent="0.25">
      <c r="B73" s="157">
        <v>52</v>
      </c>
      <c r="C73" s="66">
        <v>101218</v>
      </c>
      <c r="D73" s="155" t="s">
        <v>113</v>
      </c>
      <c r="E73" s="67" t="s">
        <v>158</v>
      </c>
      <c r="F73" s="156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>
        <v>662278.19999999995</v>
      </c>
      <c r="R73" s="63">
        <f>60965.87+1152.63</f>
        <v>62118.5</v>
      </c>
      <c r="S73" s="63">
        <v>20747.45</v>
      </c>
      <c r="T73" s="214">
        <v>943936.2</v>
      </c>
      <c r="U73" s="210"/>
      <c r="V73" s="196"/>
      <c r="W73" s="187">
        <v>768338.42</v>
      </c>
      <c r="X73" s="185"/>
      <c r="Y73" s="169">
        <f>15272.56+382021.68</f>
        <v>397294.24</v>
      </c>
      <c r="Z73" s="165"/>
      <c r="AA73" s="159"/>
      <c r="AB73" s="158">
        <v>1338399.99</v>
      </c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>
        <f>169227.93+2431974.98+929631.89+662278.2</f>
        <v>4193113</v>
      </c>
      <c r="BN73" s="152">
        <f t="shared" si="10"/>
        <v>0</v>
      </c>
    </row>
    <row r="74" spans="2:66" ht="47.25" x14ac:dyDescent="0.25">
      <c r="B74" s="140">
        <v>52</v>
      </c>
      <c r="C74" s="141">
        <v>101318</v>
      </c>
      <c r="D74" s="142" t="s">
        <v>113</v>
      </c>
      <c r="E74" s="143" t="s">
        <v>161</v>
      </c>
      <c r="F74" s="144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>
        <f>13207.78+249.71</f>
        <v>13457.49</v>
      </c>
      <c r="S74" s="63">
        <v>4494.7700000000004</v>
      </c>
      <c r="T74" s="213"/>
      <c r="U74" s="211"/>
      <c r="V74" s="197"/>
      <c r="W74" s="188"/>
      <c r="X74" s="186"/>
      <c r="Y74" s="144">
        <f>3308.47+988320.2</f>
        <v>991628.66999999993</v>
      </c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>
        <v>1009580.93</v>
      </c>
      <c r="BN74" s="167">
        <f t="shared" si="10"/>
        <v>0</v>
      </c>
    </row>
    <row r="75" spans="2:66" ht="47.25" x14ac:dyDescent="0.25">
      <c r="B75" s="171">
        <v>52</v>
      </c>
      <c r="C75" s="66">
        <v>101056</v>
      </c>
      <c r="D75" s="175" t="s">
        <v>113</v>
      </c>
      <c r="E75" s="67" t="s">
        <v>162</v>
      </c>
      <c r="F75" s="172">
        <v>2728850</v>
      </c>
      <c r="G75" s="63">
        <f t="shared" si="9"/>
        <v>2588166.9299999997</v>
      </c>
      <c r="H75" s="266"/>
      <c r="I75" s="261"/>
      <c r="J75" s="258"/>
      <c r="K75" s="254"/>
      <c r="L75" s="246"/>
      <c r="M75" s="242"/>
      <c r="N75" s="240"/>
      <c r="O75" s="228"/>
      <c r="P75" s="225"/>
      <c r="Q75" s="222"/>
      <c r="R75" s="221"/>
      <c r="S75" s="217"/>
      <c r="T75" s="212"/>
      <c r="U75" s="210"/>
      <c r="V75" s="196">
        <f>1108002.94+23726.11+6709.45+7053.88</f>
        <v>1145492.3799999999</v>
      </c>
      <c r="W75" s="187"/>
      <c r="X75" s="185">
        <v>794637.15</v>
      </c>
      <c r="Y75" s="172">
        <v>648037.4</v>
      </c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>
        <v>2588166.9300000002</v>
      </c>
      <c r="BN75" s="173">
        <f>G75-BM75</f>
        <v>0</v>
      </c>
    </row>
    <row r="76" spans="2:66" ht="15.75" x14ac:dyDescent="0.25">
      <c r="B76" s="292">
        <v>52</v>
      </c>
      <c r="C76" s="66">
        <v>101178</v>
      </c>
      <c r="D76" s="296" t="s">
        <v>113</v>
      </c>
      <c r="E76" s="290" t="s">
        <v>156</v>
      </c>
      <c r="F76" s="276">
        <v>60720487.200000003</v>
      </c>
      <c r="G76" s="276">
        <f>SUM(H76:BL79)</f>
        <v>19696392.29000001</v>
      </c>
      <c r="H76" s="63"/>
      <c r="I76" s="63">
        <f>14157+328290.97</f>
        <v>342447.97</v>
      </c>
      <c r="J76" s="63"/>
      <c r="K76" s="63">
        <v>9256.5</v>
      </c>
      <c r="L76" s="63"/>
      <c r="M76" s="63"/>
      <c r="N76" s="63">
        <f>14157+701836.7</f>
        <v>715993.7</v>
      </c>
      <c r="O76" s="63">
        <f>14157+372755.8</f>
        <v>386912.8</v>
      </c>
      <c r="P76" s="63">
        <v>14206</v>
      </c>
      <c r="Q76" s="63">
        <f>465937.95+39762.01+14206</f>
        <v>519905.96</v>
      </c>
      <c r="R76" s="63">
        <v>634338.31000000006</v>
      </c>
      <c r="S76" s="63">
        <v>14206</v>
      </c>
      <c r="T76" s="63"/>
      <c r="U76" s="63">
        <f>261418.64+11740.5</f>
        <v>273159.14</v>
      </c>
      <c r="V76" s="63">
        <f>258305.55+11740.5</f>
        <v>270046.05</v>
      </c>
      <c r="W76" s="63"/>
      <c r="X76" s="63">
        <v>54854.77</v>
      </c>
      <c r="Y76" s="172">
        <v>176097.7</v>
      </c>
      <c r="Z76" s="172"/>
      <c r="AA76" s="172"/>
      <c r="AB76" s="168">
        <v>4275</v>
      </c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276">
        <v>12609363.4</v>
      </c>
      <c r="BN76" s="274">
        <f t="shared" si="10"/>
        <v>7087028.8900000099</v>
      </c>
    </row>
    <row r="77" spans="2:66" ht="15.75" x14ac:dyDescent="0.25">
      <c r="B77" s="295"/>
      <c r="C77" s="61">
        <v>101338</v>
      </c>
      <c r="D77" s="297"/>
      <c r="E77" s="298"/>
      <c r="F77" s="299"/>
      <c r="G77" s="299"/>
      <c r="H77" s="63"/>
      <c r="I77" s="63">
        <f>14157+890180.16</f>
        <v>904337.16</v>
      </c>
      <c r="J77" s="63"/>
      <c r="K77" s="63">
        <v>9256.5</v>
      </c>
      <c r="L77" s="63"/>
      <c r="M77" s="63"/>
      <c r="N77" s="63">
        <f>14157+582519.15</f>
        <v>596676.15</v>
      </c>
      <c r="O77" s="63">
        <f>14157+1055744.75</f>
        <v>1069901.75</v>
      </c>
      <c r="P77" s="63">
        <v>14206</v>
      </c>
      <c r="Q77" s="63">
        <f>268549.74+31070.7+14206</f>
        <v>313826.44</v>
      </c>
      <c r="R77" s="63">
        <v>1492846.48</v>
      </c>
      <c r="S77" s="63">
        <v>14206</v>
      </c>
      <c r="T77" s="63"/>
      <c r="U77" s="63">
        <f>169890.96+11740.5</f>
        <v>181631.46</v>
      </c>
      <c r="V77" s="63">
        <f>21336.04+11740.5</f>
        <v>33076.54</v>
      </c>
      <c r="W77" s="63"/>
      <c r="X77" s="63">
        <v>158745.67000000001</v>
      </c>
      <c r="Y77" s="63">
        <v>417284.3</v>
      </c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299"/>
      <c r="BN77" s="275"/>
    </row>
    <row r="78" spans="2:66" ht="15.75" x14ac:dyDescent="0.25">
      <c r="B78" s="295"/>
      <c r="C78" s="61">
        <v>101339</v>
      </c>
      <c r="D78" s="297"/>
      <c r="E78" s="298"/>
      <c r="F78" s="299"/>
      <c r="G78" s="299"/>
      <c r="H78" s="63"/>
      <c r="I78" s="63">
        <v>11948.98</v>
      </c>
      <c r="J78" s="63"/>
      <c r="K78" s="63">
        <v>14157</v>
      </c>
      <c r="L78" s="63">
        <v>316138.90000000002</v>
      </c>
      <c r="M78" s="63"/>
      <c r="N78" s="63">
        <f>14157+423990.28</f>
        <v>438147.28</v>
      </c>
      <c r="O78" s="63">
        <f>14157+655825.86</f>
        <v>669982.86</v>
      </c>
      <c r="P78" s="63">
        <f>14206+252823.93</f>
        <v>267029.93</v>
      </c>
      <c r="Q78" s="63">
        <f>429985.96+14206</f>
        <v>444191.96</v>
      </c>
      <c r="R78" s="63"/>
      <c r="S78" s="63">
        <f>1228558.87+14206</f>
        <v>1242764.8700000001</v>
      </c>
      <c r="T78" s="63"/>
      <c r="U78" s="63">
        <v>11740.5</v>
      </c>
      <c r="V78" s="63">
        <f>843501.45+11740.5+602097.44</f>
        <v>1457339.39</v>
      </c>
      <c r="W78" s="63"/>
      <c r="X78" s="63">
        <v>306816.17</v>
      </c>
      <c r="Y78" s="63">
        <v>454294.7</v>
      </c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299"/>
      <c r="BN78" s="275"/>
    </row>
    <row r="79" spans="2:66" ht="15.75" x14ac:dyDescent="0.25">
      <c r="B79" s="295"/>
      <c r="C79" s="66">
        <v>101340</v>
      </c>
      <c r="D79" s="297"/>
      <c r="E79" s="298"/>
      <c r="F79" s="299"/>
      <c r="G79" s="299"/>
      <c r="H79" s="63"/>
      <c r="I79" s="63">
        <v>11948.98</v>
      </c>
      <c r="J79" s="63"/>
      <c r="K79" s="63">
        <v>14157</v>
      </c>
      <c r="L79" s="63">
        <v>801173.66</v>
      </c>
      <c r="M79" s="63"/>
      <c r="N79" s="63">
        <f>14157+251974.65</f>
        <v>266131.65000000002</v>
      </c>
      <c r="O79" s="63">
        <f>14157+494303.05</f>
        <v>508460.05</v>
      </c>
      <c r="P79" s="63">
        <f>14206+713567.78</f>
        <v>727773.78</v>
      </c>
      <c r="Q79" s="63">
        <f>420660.77+14206</f>
        <v>434866.77</v>
      </c>
      <c r="R79" s="63"/>
      <c r="S79" s="63">
        <f>523927.78+14206</f>
        <v>538133.78</v>
      </c>
      <c r="T79" s="63"/>
      <c r="U79" s="63">
        <v>11740.5</v>
      </c>
      <c r="V79" s="63">
        <f>565684.62+11740.5+741083.14</f>
        <v>1318508.26</v>
      </c>
      <c r="W79" s="63"/>
      <c r="X79" s="63">
        <v>680648.55</v>
      </c>
      <c r="Y79" s="179">
        <v>126602.42</v>
      </c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277"/>
      <c r="BN79" s="275"/>
    </row>
    <row r="80" spans="2:66" ht="47.25" x14ac:dyDescent="0.25">
      <c r="B80" s="184">
        <v>52</v>
      </c>
      <c r="C80" s="66">
        <v>101319</v>
      </c>
      <c r="D80" s="180" t="s">
        <v>113</v>
      </c>
      <c r="E80" s="183" t="s">
        <v>166</v>
      </c>
      <c r="F80" s="182">
        <v>945361.98</v>
      </c>
      <c r="G80" s="182">
        <f>SUM(H80:BL80)</f>
        <v>926003.23</v>
      </c>
      <c r="H80" s="266"/>
      <c r="I80" s="261"/>
      <c r="J80" s="258"/>
      <c r="K80" s="256"/>
      <c r="L80" s="252"/>
      <c r="M80" s="242"/>
      <c r="N80" s="240"/>
      <c r="O80" s="228"/>
      <c r="P80" s="227"/>
      <c r="Q80" s="222"/>
      <c r="R80" s="219"/>
      <c r="S80" s="215"/>
      <c r="T80" s="212"/>
      <c r="U80" s="210">
        <v>7376.77</v>
      </c>
      <c r="V80" s="196">
        <v>2506.56</v>
      </c>
      <c r="W80" s="187"/>
      <c r="X80" s="185">
        <f>911552.6</f>
        <v>911552.6</v>
      </c>
      <c r="Y80" s="182">
        <v>4567.3</v>
      </c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182"/>
      <c r="BM80" s="224">
        <v>926003.23</v>
      </c>
      <c r="BN80" s="181">
        <f t="shared" ref="BN80:BN88" si="11">G80-BM80</f>
        <v>0</v>
      </c>
    </row>
    <row r="81" spans="2:67" ht="47.25" x14ac:dyDescent="0.25">
      <c r="B81" s="193">
        <v>52</v>
      </c>
      <c r="C81" s="66">
        <v>101254</v>
      </c>
      <c r="D81" s="189" t="s">
        <v>113</v>
      </c>
      <c r="E81" s="192" t="s">
        <v>165</v>
      </c>
      <c r="F81" s="191">
        <v>1248879.8</v>
      </c>
      <c r="G81" s="266">
        <f t="shared" ref="G81:G87" si="12">SUM(H81:BL81)</f>
        <v>1166296.97</v>
      </c>
      <c r="H81" s="266"/>
      <c r="I81" s="261"/>
      <c r="J81" s="258"/>
      <c r="K81" s="256"/>
      <c r="L81" s="252"/>
      <c r="M81" s="242"/>
      <c r="N81" s="240"/>
      <c r="O81" s="228"/>
      <c r="P81" s="227"/>
      <c r="Q81" s="222"/>
      <c r="R81" s="63"/>
      <c r="S81" s="63"/>
      <c r="T81" s="63"/>
      <c r="U81" s="210">
        <v>79464.97</v>
      </c>
      <c r="V81" s="196">
        <v>1012486.29</v>
      </c>
      <c r="W81" s="191"/>
      <c r="X81" s="191">
        <v>74345.710000000006</v>
      </c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224">
        <v>1166296.97</v>
      </c>
      <c r="BN81" s="190">
        <f t="shared" si="11"/>
        <v>0</v>
      </c>
    </row>
    <row r="82" spans="2:67" ht="15.75" x14ac:dyDescent="0.25">
      <c r="B82" s="140">
        <v>50</v>
      </c>
      <c r="C82" s="141">
        <v>100040</v>
      </c>
      <c r="D82" s="142" t="s">
        <v>113</v>
      </c>
      <c r="E82" s="195" t="s">
        <v>168</v>
      </c>
      <c r="F82" s="144">
        <v>269182904.94</v>
      </c>
      <c r="G82" s="266">
        <f t="shared" si="12"/>
        <v>48778287.660000004</v>
      </c>
      <c r="H82" s="266"/>
      <c r="I82" s="261">
        <v>19130830.870000001</v>
      </c>
      <c r="J82" s="258"/>
      <c r="K82" s="256">
        <v>3616247.38</v>
      </c>
      <c r="L82" s="252"/>
      <c r="M82" s="242"/>
      <c r="N82" s="240">
        <v>159246.35</v>
      </c>
      <c r="O82" s="228"/>
      <c r="P82" s="227">
        <v>4296196.47</v>
      </c>
      <c r="Q82" s="222">
        <v>12451315.720000001</v>
      </c>
      <c r="R82" s="63"/>
      <c r="S82" s="218">
        <v>1423942.49</v>
      </c>
      <c r="T82" s="213"/>
      <c r="U82" s="144">
        <v>3617934.14</v>
      </c>
      <c r="V82" s="144"/>
      <c r="W82" s="144">
        <v>4082574.24</v>
      </c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4"/>
      <c r="BM82" s="224">
        <v>7700508.3700000001</v>
      </c>
      <c r="BN82" s="194">
        <f t="shared" si="11"/>
        <v>41077779.290000007</v>
      </c>
    </row>
    <row r="83" spans="2:67" ht="15.75" x14ac:dyDescent="0.25">
      <c r="B83" s="208">
        <v>50</v>
      </c>
      <c r="C83" s="66">
        <v>100930</v>
      </c>
      <c r="D83" s="204" t="s">
        <v>113</v>
      </c>
      <c r="E83" s="207" t="s">
        <v>170</v>
      </c>
      <c r="F83" s="206">
        <f>5098569.84+(25.75*3333680.36)</f>
        <v>90940839.109999999</v>
      </c>
      <c r="G83" s="266">
        <f t="shared" si="12"/>
        <v>49825720.68</v>
      </c>
      <c r="H83" s="266"/>
      <c r="I83" s="261"/>
      <c r="J83" s="260">
        <v>5525111.9500000002</v>
      </c>
      <c r="K83" s="256">
        <v>2863051.42</v>
      </c>
      <c r="L83" s="252"/>
      <c r="M83" s="242"/>
      <c r="N83" s="240"/>
      <c r="O83" s="228"/>
      <c r="P83" s="227">
        <v>552678.56000000006</v>
      </c>
      <c r="Q83" s="222">
        <v>459086.33</v>
      </c>
      <c r="R83" s="219"/>
      <c r="S83" s="217">
        <v>2716403.25</v>
      </c>
      <c r="T83" s="214">
        <v>7538770.8600000003</v>
      </c>
      <c r="U83" s="210"/>
      <c r="V83" s="206">
        <v>30170618.309999999</v>
      </c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9"/>
      <c r="BN83" s="205">
        <f t="shared" si="11"/>
        <v>49825720.68</v>
      </c>
    </row>
    <row r="84" spans="2:67" ht="15.75" x14ac:dyDescent="0.25">
      <c r="B84" s="231">
        <v>50</v>
      </c>
      <c r="C84" s="66">
        <v>100956</v>
      </c>
      <c r="D84" s="233" t="s">
        <v>113</v>
      </c>
      <c r="E84" s="230" t="s">
        <v>172</v>
      </c>
      <c r="F84" s="232">
        <v>100681380</v>
      </c>
      <c r="G84" s="266">
        <f t="shared" si="12"/>
        <v>20418344.820000004</v>
      </c>
      <c r="H84" s="268">
        <v>1965215.35</v>
      </c>
      <c r="I84" s="261"/>
      <c r="J84" s="260">
        <v>3034917.45</v>
      </c>
      <c r="K84" s="256"/>
      <c r="L84" s="252"/>
      <c r="M84" s="242"/>
      <c r="N84" s="240"/>
      <c r="O84" s="232"/>
      <c r="P84" s="232">
        <v>511957.29</v>
      </c>
      <c r="Q84" s="232">
        <v>6535671.9500000002</v>
      </c>
      <c r="R84" s="232"/>
      <c r="S84" s="232">
        <v>7084552.4100000001</v>
      </c>
      <c r="T84" s="232"/>
      <c r="U84" s="232">
        <v>1286030.3700000001</v>
      </c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  <c r="BL84" s="232"/>
      <c r="BM84" s="257">
        <v>15418212.01</v>
      </c>
      <c r="BN84" s="235">
        <f t="shared" si="11"/>
        <v>5000132.8100000042</v>
      </c>
    </row>
    <row r="85" spans="2:67" ht="31.5" x14ac:dyDescent="0.25">
      <c r="B85" s="238">
        <v>52</v>
      </c>
      <c r="C85" s="66">
        <v>101352</v>
      </c>
      <c r="D85" s="239" t="s">
        <v>113</v>
      </c>
      <c r="E85" s="237" t="s">
        <v>178</v>
      </c>
      <c r="F85" s="236">
        <v>6777775.9699999997</v>
      </c>
      <c r="G85" s="266">
        <f t="shared" si="12"/>
        <v>1099994</v>
      </c>
      <c r="H85" s="268">
        <v>21780</v>
      </c>
      <c r="I85" s="261">
        <v>250158.77</v>
      </c>
      <c r="J85" s="260">
        <f>22275+10800</f>
        <v>33075</v>
      </c>
      <c r="K85" s="256">
        <v>614261.41</v>
      </c>
      <c r="L85" s="252">
        <v>22770</v>
      </c>
      <c r="M85" s="242">
        <v>125773.82</v>
      </c>
      <c r="N85" s="240">
        <v>23265</v>
      </c>
      <c r="O85" s="236">
        <v>8910</v>
      </c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6"/>
      <c r="BM85" s="234"/>
      <c r="BN85" s="235">
        <f t="shared" si="11"/>
        <v>1099994</v>
      </c>
    </row>
    <row r="86" spans="2:67" ht="31.5" x14ac:dyDescent="0.25">
      <c r="B86" s="245">
        <v>59</v>
      </c>
      <c r="C86" s="66">
        <v>101244</v>
      </c>
      <c r="D86" s="247" t="s">
        <v>113</v>
      </c>
      <c r="E86" s="244" t="s">
        <v>180</v>
      </c>
      <c r="F86" s="246">
        <v>2457590.4</v>
      </c>
      <c r="G86" s="266">
        <f t="shared" si="12"/>
        <v>1499553</v>
      </c>
      <c r="H86" s="268"/>
      <c r="I86" s="261"/>
      <c r="J86" s="260"/>
      <c r="K86" s="254"/>
      <c r="L86" s="252"/>
      <c r="M86" s="246"/>
      <c r="N86" s="246">
        <v>1499553</v>
      </c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69">
        <v>1499553</v>
      </c>
      <c r="BN86" s="249">
        <f t="shared" si="11"/>
        <v>0</v>
      </c>
    </row>
    <row r="87" spans="2:67" ht="15.75" x14ac:dyDescent="0.25">
      <c r="B87" s="245">
        <v>52</v>
      </c>
      <c r="C87" s="66">
        <v>101353</v>
      </c>
      <c r="D87" s="247" t="s">
        <v>113</v>
      </c>
      <c r="E87" s="244" t="s">
        <v>185</v>
      </c>
      <c r="F87" s="246">
        <v>1631098.44</v>
      </c>
      <c r="G87" s="266">
        <f t="shared" si="12"/>
        <v>1468694.52</v>
      </c>
      <c r="H87" s="268">
        <v>510527.27</v>
      </c>
      <c r="I87" s="261"/>
      <c r="J87" s="260">
        <v>806833.6</v>
      </c>
      <c r="K87" s="254"/>
      <c r="L87" s="252">
        <v>151333.65</v>
      </c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246"/>
      <c r="BH87" s="246"/>
      <c r="BI87" s="246"/>
      <c r="BJ87" s="246"/>
      <c r="BK87" s="246"/>
      <c r="BL87" s="246"/>
      <c r="BM87" s="234"/>
      <c r="BN87" s="250">
        <f t="shared" si="11"/>
        <v>1468694.52</v>
      </c>
    </row>
    <row r="88" spans="2:67" ht="32.25" thickBot="1" x14ac:dyDescent="0.3">
      <c r="B88" s="198">
        <v>59</v>
      </c>
      <c r="C88" s="199">
        <v>101355</v>
      </c>
      <c r="D88" s="200" t="s">
        <v>113</v>
      </c>
      <c r="E88" s="201" t="s">
        <v>184</v>
      </c>
      <c r="F88" s="202">
        <v>4768701.71</v>
      </c>
      <c r="G88" s="251">
        <f>SUM(H88:BL88)</f>
        <v>457030.44</v>
      </c>
      <c r="H88" s="268">
        <f>13050+9882.9</f>
        <v>22932.9</v>
      </c>
      <c r="I88" s="261">
        <f>5880.6+301348.44</f>
        <v>307229.03999999998</v>
      </c>
      <c r="J88" s="258"/>
      <c r="K88" s="254"/>
      <c r="L88" s="202">
        <v>126868.5</v>
      </c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3"/>
      <c r="BN88" s="249">
        <f t="shared" si="11"/>
        <v>457030.44</v>
      </c>
    </row>
    <row r="89" spans="2:67" ht="20.100000000000001" customHeight="1" thickTop="1" thickBot="1" x14ac:dyDescent="0.3">
      <c r="B89" s="80"/>
      <c r="C89" s="81"/>
      <c r="D89" s="81"/>
      <c r="E89" s="81"/>
      <c r="F89" s="265">
        <f t="shared" ref="F89:L89" si="13">SUM(F4:F88)</f>
        <v>2130477329.7292502</v>
      </c>
      <c r="G89" s="265">
        <f t="shared" si="13"/>
        <v>1425251487.3799999</v>
      </c>
      <c r="H89" s="265">
        <f t="shared" si="13"/>
        <v>2520455.52</v>
      </c>
      <c r="I89" s="265">
        <f>SUM(I4:I88)</f>
        <v>38200839.050000004</v>
      </c>
      <c r="J89" s="265">
        <f t="shared" si="13"/>
        <v>9399938</v>
      </c>
      <c r="K89" s="265">
        <f t="shared" si="13"/>
        <v>7140387.21</v>
      </c>
      <c r="L89" s="265">
        <f t="shared" si="13"/>
        <v>2698651.47</v>
      </c>
      <c r="M89" s="265">
        <f t="shared" ref="M89:BL89" si="14">SUM(M4:M88)</f>
        <v>125773.82</v>
      </c>
      <c r="N89" s="265">
        <f t="shared" si="14"/>
        <v>5442644.4699999997</v>
      </c>
      <c r="O89" s="265">
        <f t="shared" si="14"/>
        <v>6543527.9500000002</v>
      </c>
      <c r="P89" s="265">
        <f t="shared" si="14"/>
        <v>6783253.3099999996</v>
      </c>
      <c r="Q89" s="265">
        <f t="shared" si="14"/>
        <v>24163274.800000001</v>
      </c>
      <c r="R89" s="265">
        <f t="shared" si="14"/>
        <v>17753618.400000002</v>
      </c>
      <c r="S89" s="265">
        <f t="shared" si="14"/>
        <v>30462263.610000003</v>
      </c>
      <c r="T89" s="265">
        <f t="shared" si="14"/>
        <v>47235635.030000001</v>
      </c>
      <c r="U89" s="265">
        <f t="shared" si="14"/>
        <v>18914364.980000004</v>
      </c>
      <c r="V89" s="265">
        <f t="shared" si="14"/>
        <v>82758088.920000002</v>
      </c>
      <c r="W89" s="265">
        <f t="shared" si="14"/>
        <v>4899867.4000000004</v>
      </c>
      <c r="X89" s="265">
        <f t="shared" si="14"/>
        <v>46791873.650000006</v>
      </c>
      <c r="Y89" s="265">
        <f t="shared" si="14"/>
        <v>48138977.750000007</v>
      </c>
      <c r="Z89" s="265">
        <f t="shared" si="14"/>
        <v>25980798.359999999</v>
      </c>
      <c r="AA89" s="265">
        <f t="shared" si="14"/>
        <v>10192335.470000001</v>
      </c>
      <c r="AB89" s="265">
        <f t="shared" si="14"/>
        <v>5209739.04</v>
      </c>
      <c r="AC89" s="265">
        <f t="shared" si="14"/>
        <v>28560970.490000002</v>
      </c>
      <c r="AD89" s="265">
        <f t="shared" si="14"/>
        <v>6247365.0300000003</v>
      </c>
      <c r="AE89" s="265">
        <f t="shared" si="14"/>
        <v>6180312.4100000001</v>
      </c>
      <c r="AF89" s="265">
        <f t="shared" si="14"/>
        <v>4417253.9800000004</v>
      </c>
      <c r="AG89" s="265">
        <f t="shared" si="14"/>
        <v>9966681.7200000007</v>
      </c>
      <c r="AH89" s="265">
        <f t="shared" si="14"/>
        <v>9698266.3599999994</v>
      </c>
      <c r="AI89" s="265">
        <f t="shared" si="14"/>
        <v>8594659.75</v>
      </c>
      <c r="AJ89" s="265">
        <f t="shared" si="14"/>
        <v>1304905.9400000002</v>
      </c>
      <c r="AK89" s="265">
        <f t="shared" si="14"/>
        <v>10914675.17</v>
      </c>
      <c r="AL89" s="265">
        <f t="shared" si="14"/>
        <v>29312816.630000006</v>
      </c>
      <c r="AM89" s="265">
        <f t="shared" si="14"/>
        <v>10199294.83</v>
      </c>
      <c r="AN89" s="265">
        <f t="shared" si="14"/>
        <v>43250051.13000001</v>
      </c>
      <c r="AO89" s="265">
        <f t="shared" si="14"/>
        <v>19218115.23</v>
      </c>
      <c r="AP89" s="265">
        <f t="shared" si="14"/>
        <v>47037920.500000007</v>
      </c>
      <c r="AQ89" s="265">
        <f t="shared" si="14"/>
        <v>54193399.359999999</v>
      </c>
      <c r="AR89" s="265">
        <f t="shared" si="14"/>
        <v>73354204.99000001</v>
      </c>
      <c r="AS89" s="265">
        <f t="shared" si="14"/>
        <v>34276098.340000004</v>
      </c>
      <c r="AT89" s="265">
        <f t="shared" si="14"/>
        <v>33723490.390000001</v>
      </c>
      <c r="AU89" s="265">
        <f t="shared" si="14"/>
        <v>34962249.579999998</v>
      </c>
      <c r="AV89" s="265">
        <f t="shared" si="14"/>
        <v>68195259.400000006</v>
      </c>
      <c r="AW89" s="265">
        <f t="shared" si="14"/>
        <v>19919223.909999996</v>
      </c>
      <c r="AX89" s="265">
        <f t="shared" si="14"/>
        <v>53366828.850000001</v>
      </c>
      <c r="AY89" s="265">
        <f t="shared" si="14"/>
        <v>25764997.969999999</v>
      </c>
      <c r="AZ89" s="265">
        <f t="shared" si="14"/>
        <v>56876644.520000003</v>
      </c>
      <c r="BA89" s="265">
        <f t="shared" si="14"/>
        <v>55694756.119999997</v>
      </c>
      <c r="BB89" s="265">
        <f t="shared" si="14"/>
        <v>3693296.3600000003</v>
      </c>
      <c r="BC89" s="265">
        <f t="shared" si="14"/>
        <v>894272.2</v>
      </c>
      <c r="BD89" s="265">
        <f t="shared" si="14"/>
        <v>17376.990000000002</v>
      </c>
      <c r="BE89" s="265">
        <f t="shared" si="14"/>
        <v>16414704.029999999</v>
      </c>
      <c r="BF89" s="265">
        <f t="shared" si="14"/>
        <v>3244919.44</v>
      </c>
      <c r="BG89" s="265">
        <f t="shared" si="14"/>
        <v>30566884.609999999</v>
      </c>
      <c r="BH89" s="265">
        <f t="shared" si="14"/>
        <v>18250721.109999999</v>
      </c>
      <c r="BI89" s="265">
        <f t="shared" si="14"/>
        <v>19474817.859999999</v>
      </c>
      <c r="BJ89" s="265">
        <f t="shared" si="14"/>
        <v>59854153.43</v>
      </c>
      <c r="BK89" s="265">
        <f t="shared" si="14"/>
        <v>37393590.539999999</v>
      </c>
      <c r="BL89" s="265">
        <f t="shared" si="14"/>
        <v>48860000</v>
      </c>
      <c r="BM89" s="265">
        <f>SUM(BM4:BM88)</f>
        <v>1200838293.6100004</v>
      </c>
      <c r="BN89" s="264">
        <f>SUM(BN4:BN88)</f>
        <v>224413193.77000007</v>
      </c>
      <c r="BO89" s="253">
        <f>G89-BM89</f>
        <v>224413193.7699995</v>
      </c>
    </row>
    <row r="90" spans="2:67" ht="24.75" customHeight="1" thickTop="1" thickBot="1" x14ac:dyDescent="0.3">
      <c r="B90" s="288" t="s">
        <v>40</v>
      </c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  <c r="O90" s="289"/>
      <c r="P90" s="289"/>
      <c r="Q90" s="289"/>
      <c r="R90" s="289"/>
      <c r="S90" s="289"/>
      <c r="T90" s="289"/>
      <c r="U90" s="289"/>
      <c r="V90" s="289"/>
      <c r="W90" s="289"/>
      <c r="X90" s="289"/>
      <c r="Y90" s="289"/>
      <c r="Z90" s="289"/>
      <c r="AA90" s="289"/>
      <c r="AB90" s="289"/>
      <c r="AC90" s="289"/>
      <c r="AD90" s="289"/>
      <c r="AE90" s="289"/>
      <c r="AF90" s="289"/>
      <c r="AG90" s="289"/>
      <c r="AH90" s="289"/>
      <c r="AI90" s="289"/>
      <c r="AJ90" s="289"/>
      <c r="AK90" s="289"/>
      <c r="AL90" s="289"/>
      <c r="AM90" s="289"/>
      <c r="AN90" s="289"/>
      <c r="AO90" s="289"/>
      <c r="AP90" s="289"/>
      <c r="AQ90" s="289"/>
      <c r="AR90" s="289"/>
      <c r="AS90" s="289"/>
      <c r="AT90" s="289"/>
      <c r="AU90" s="289"/>
      <c r="AV90" s="289"/>
      <c r="AW90" s="289"/>
      <c r="AX90" s="289"/>
      <c r="AY90" s="289"/>
      <c r="AZ90" s="289"/>
      <c r="BA90" s="289"/>
      <c r="BB90" s="289"/>
      <c r="BC90" s="289"/>
      <c r="BD90" s="289"/>
      <c r="BE90" s="289"/>
      <c r="BF90" s="289"/>
      <c r="BG90" s="289"/>
      <c r="BH90" s="289"/>
      <c r="BI90" s="289"/>
      <c r="BJ90" s="289"/>
      <c r="BK90" s="289"/>
      <c r="BL90" s="289"/>
      <c r="BM90" s="289"/>
      <c r="BN90" s="263">
        <f>600000000-BN89</f>
        <v>375586806.2299999</v>
      </c>
    </row>
    <row r="91" spans="2:67" ht="15.75" thickTop="1" x14ac:dyDescent="0.25"/>
    <row r="92" spans="2:67" x14ac:dyDescent="0.25">
      <c r="G92" s="253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</f>
        <v>1425251487.3799996</v>
      </c>
      <c r="H92" s="253"/>
      <c r="I92" s="253"/>
      <c r="J92" s="253"/>
      <c r="K92" s="253"/>
      <c r="BM92" s="87"/>
    </row>
    <row r="93" spans="2:67" x14ac:dyDescent="0.25"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</row>
  </sheetData>
  <mergeCells count="81">
    <mergeCell ref="O2:O3"/>
    <mergeCell ref="P2:P3"/>
    <mergeCell ref="W2:W3"/>
    <mergeCell ref="L2:L3"/>
    <mergeCell ref="E2:E3"/>
    <mergeCell ref="K2:K3"/>
    <mergeCell ref="J2:J3"/>
    <mergeCell ref="I2:I3"/>
    <mergeCell ref="H2:H3"/>
    <mergeCell ref="AF2:AF3"/>
    <mergeCell ref="AD2:AD3"/>
    <mergeCell ref="AC2:AC3"/>
    <mergeCell ref="Z2:Z3"/>
    <mergeCell ref="G2:G3"/>
    <mergeCell ref="U2:U3"/>
    <mergeCell ref="AB2:AB3"/>
    <mergeCell ref="V2:V3"/>
    <mergeCell ref="T2:T3"/>
    <mergeCell ref="AA2:AA3"/>
    <mergeCell ref="Y2:Y3"/>
    <mergeCell ref="N2:N3"/>
    <mergeCell ref="X2:X3"/>
    <mergeCell ref="R2:R3"/>
    <mergeCell ref="S2:S3"/>
    <mergeCell ref="M2:M3"/>
    <mergeCell ref="B90:BM90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M76:BM79"/>
    <mergeCell ref="D40:D41"/>
    <mergeCell ref="BG2:BG3"/>
    <mergeCell ref="AQ2:AQ3"/>
    <mergeCell ref="AE2:AE3"/>
    <mergeCell ref="B1:F1"/>
    <mergeCell ref="BM2:BM3"/>
    <mergeCell ref="AK2:AK3"/>
    <mergeCell ref="AJ2:AJ3"/>
    <mergeCell ref="AX2:AX3"/>
    <mergeCell ref="AG2:AG3"/>
    <mergeCell ref="AH2:AH3"/>
    <mergeCell ref="AS2:AS3"/>
    <mergeCell ref="AR2:AR3"/>
    <mergeCell ref="B2:B3"/>
    <mergeCell ref="F2:F3"/>
    <mergeCell ref="D2:D3"/>
    <mergeCell ref="Q2:Q3"/>
    <mergeCell ref="C2:C3"/>
    <mergeCell ref="AT2:AT3"/>
    <mergeCell ref="AU2:AU3"/>
    <mergeCell ref="BN76:BN79"/>
    <mergeCell ref="BI2:BI3"/>
    <mergeCell ref="BJ2:BJ3"/>
    <mergeCell ref="BK2:BK3"/>
    <mergeCell ref="BH2:BH3"/>
    <mergeCell ref="BM40:BM41"/>
    <mergeCell ref="BN2:BN3"/>
    <mergeCell ref="BL2:BL3"/>
    <mergeCell ref="BN40:BN41"/>
    <mergeCell ref="AP2:AP3"/>
    <mergeCell ref="AO2:AO3"/>
    <mergeCell ref="AN2:AN3"/>
    <mergeCell ref="BB2:BB3"/>
    <mergeCell ref="AI2:AI3"/>
    <mergeCell ref="AM2:AM3"/>
    <mergeCell ref="AL2:AL3"/>
    <mergeCell ref="BF2:BF3"/>
    <mergeCell ref="BE2:BE3"/>
    <mergeCell ref="BC2:BC3"/>
    <mergeCell ref="BA2:BA3"/>
    <mergeCell ref="AV2:AV3"/>
    <mergeCell ref="AW2:AW3"/>
    <mergeCell ref="AY2:AY3"/>
    <mergeCell ref="BD2:BD3"/>
    <mergeCell ref="AZ2:AZ3"/>
  </mergeCells>
  <pageMargins left="0.70866141732283472" right="0.70866141732283472" top="0.39370078740157483" bottom="0.78740157480314965" header="0.31496062992125984" footer="0.31496062992125984"/>
  <pageSetup paperSize="9" scale="52" firstPageNumber="2" fitToHeight="0" orientation="landscape" useFirstPageNumber="1" r:id="rId1"/>
  <headerFooter>
    <oddFooter>&amp;LZastupitelstvo Olomouckého kraje 22. 6. 2020
8.3.1. - Rozpočet Olomouckého kraje 2020 - splátka revolvingového úvěru KB - DODATEK
Příloha č. 1 - přehled revolvingového úvěru&amp;RStrana &amp;P (celkem 4)</oddFooter>
  </headerFooter>
  <rowBreaks count="2" manualBreakCount="2">
    <brk id="33" min="1" max="48" man="1"/>
    <brk id="60" min="1" max="48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04" t="s">
        <v>25</v>
      </c>
      <c r="B1" s="304"/>
      <c r="C1" s="304"/>
      <c r="D1" s="304"/>
      <c r="E1" s="304"/>
      <c r="F1" s="304"/>
      <c r="G1" s="304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13" t="s">
        <v>0</v>
      </c>
      <c r="B4" s="315" t="s">
        <v>5</v>
      </c>
      <c r="C4" s="315" t="s">
        <v>6</v>
      </c>
      <c r="D4" s="307" t="s">
        <v>10</v>
      </c>
      <c r="E4" s="307" t="s">
        <v>1</v>
      </c>
      <c r="F4" s="311" t="s">
        <v>4</v>
      </c>
      <c r="G4" s="307" t="s">
        <v>7</v>
      </c>
      <c r="H4" s="305" t="s">
        <v>3</v>
      </c>
      <c r="I4" s="307" t="s">
        <v>9</v>
      </c>
      <c r="J4" s="307" t="s">
        <v>12</v>
      </c>
      <c r="K4" s="307" t="s">
        <v>8</v>
      </c>
      <c r="L4" s="309" t="s">
        <v>13</v>
      </c>
      <c r="M4" s="317" t="s">
        <v>14</v>
      </c>
    </row>
    <row r="5" spans="1:13" ht="39" customHeight="1" thickBot="1" x14ac:dyDescent="0.25">
      <c r="A5" s="314"/>
      <c r="B5" s="316"/>
      <c r="C5" s="316"/>
      <c r="D5" s="308"/>
      <c r="E5" s="308"/>
      <c r="F5" s="312"/>
      <c r="G5" s="308"/>
      <c r="H5" s="306"/>
      <c r="I5" s="308"/>
      <c r="J5" s="308"/>
      <c r="K5" s="308"/>
      <c r="L5" s="310"/>
      <c r="M5" s="31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01" t="s">
        <v>2</v>
      </c>
      <c r="B11" s="302"/>
      <c r="C11" s="302"/>
      <c r="D11" s="302"/>
      <c r="E11" s="302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13" t="s">
        <v>0</v>
      </c>
      <c r="B13" s="315" t="s">
        <v>5</v>
      </c>
      <c r="C13" s="315" t="s">
        <v>6</v>
      </c>
      <c r="D13" s="307" t="s">
        <v>10</v>
      </c>
      <c r="E13" s="307" t="s">
        <v>1</v>
      </c>
      <c r="F13" s="311" t="s">
        <v>4</v>
      </c>
      <c r="G13" s="307" t="s">
        <v>7</v>
      </c>
      <c r="H13" s="305" t="s">
        <v>3</v>
      </c>
      <c r="I13" s="307" t="s">
        <v>9</v>
      </c>
      <c r="J13" s="307" t="s">
        <v>12</v>
      </c>
      <c r="K13" s="307" t="s">
        <v>8</v>
      </c>
      <c r="L13" s="309" t="s">
        <v>13</v>
      </c>
      <c r="M13" s="317" t="s">
        <v>14</v>
      </c>
    </row>
    <row r="14" spans="1:13" ht="39" customHeight="1" thickBot="1" x14ac:dyDescent="0.25">
      <c r="A14" s="314"/>
      <c r="B14" s="316"/>
      <c r="C14" s="316"/>
      <c r="D14" s="308"/>
      <c r="E14" s="308"/>
      <c r="F14" s="312"/>
      <c r="G14" s="308"/>
      <c r="H14" s="306"/>
      <c r="I14" s="308"/>
      <c r="J14" s="308"/>
      <c r="K14" s="308"/>
      <c r="L14" s="310"/>
      <c r="M14" s="31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01" t="s">
        <v>26</v>
      </c>
      <c r="B19" s="302"/>
      <c r="C19" s="302"/>
      <c r="D19" s="302"/>
      <c r="E19" s="302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01" t="s">
        <v>2</v>
      </c>
      <c r="B21" s="302"/>
      <c r="C21" s="302"/>
      <c r="D21" s="302"/>
      <c r="E21" s="302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03"/>
      <c r="L22" s="303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2020-06-09T07:37:39Z</cp:lastPrinted>
  <dcterms:created xsi:type="dcterms:W3CDTF">2013-11-04T07:24:03Z</dcterms:created>
  <dcterms:modified xsi:type="dcterms:W3CDTF">2020-06-11T09:15:07Z</dcterms:modified>
</cp:coreProperties>
</file>