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tový výhled\Střednědobý výhled rozpočtu 2022-2023\ZOK 22.2.2021\"/>
    </mc:Choice>
  </mc:AlternateContent>
  <bookViews>
    <workbookView xWindow="0" yWindow="120" windowWidth="15480" windowHeight="11580"/>
  </bookViews>
  <sheets>
    <sheet name="Příloha č. 1" sheetId="1" r:id="rId1"/>
  </sheets>
  <definedNames>
    <definedName name="_xlnm.Print_Area" localSheetId="0">'Příloha č. 1'!$A$1:$H$100</definedName>
  </definedNames>
  <calcPr calcId="162913"/>
</workbook>
</file>

<file path=xl/calcChain.xml><?xml version="1.0" encoding="utf-8"?>
<calcChain xmlns="http://schemas.openxmlformats.org/spreadsheetml/2006/main">
  <c r="H73" i="1" l="1"/>
  <c r="H60" i="1"/>
  <c r="D105" i="1" l="1"/>
  <c r="G105" i="1" l="1"/>
  <c r="F60" i="1" l="1"/>
  <c r="G41" i="1" l="1"/>
  <c r="E41" i="1"/>
  <c r="D90" i="1" l="1"/>
  <c r="F97" i="1" l="1"/>
  <c r="F98" i="1"/>
  <c r="D93" i="1" l="1"/>
  <c r="F15" i="1" l="1"/>
  <c r="H91" i="1" l="1"/>
  <c r="H90" i="1"/>
  <c r="F91" i="1"/>
  <c r="F90" i="1"/>
  <c r="E93" i="1" l="1"/>
  <c r="E8" i="1" l="1"/>
  <c r="H42" i="1" l="1"/>
  <c r="H50" i="1"/>
  <c r="F49" i="1"/>
  <c r="D39" i="1" l="1"/>
  <c r="D62" i="1"/>
  <c r="D14" i="1" l="1"/>
  <c r="E14" i="1" l="1"/>
  <c r="E20" i="1"/>
  <c r="F48" i="1" l="1"/>
  <c r="H48" i="1"/>
  <c r="H49" i="1"/>
  <c r="F47" i="1" l="1"/>
  <c r="D55" i="1" l="1"/>
  <c r="E39" i="1"/>
  <c r="D12" i="1"/>
  <c r="D19" i="1"/>
  <c r="D63" i="1" l="1"/>
  <c r="D41" i="1" l="1"/>
  <c r="D18" i="1" l="1"/>
  <c r="D10" i="1"/>
  <c r="D11" i="1"/>
  <c r="D9" i="1" l="1"/>
  <c r="E10" i="1"/>
  <c r="G10" i="1" s="1"/>
  <c r="C55" i="1"/>
  <c r="C41" i="1"/>
  <c r="C39" i="1"/>
  <c r="C12" i="1"/>
  <c r="E58" i="1" l="1"/>
  <c r="G20" i="1"/>
  <c r="E16" i="1"/>
  <c r="E13" i="1"/>
  <c r="F11" i="1"/>
  <c r="C93" i="1" l="1"/>
  <c r="C90" i="1"/>
  <c r="C59" i="1"/>
  <c r="C88" i="1" l="1"/>
  <c r="C106" i="1"/>
  <c r="F44" i="1"/>
  <c r="H46" i="1"/>
  <c r="H31" i="1" l="1"/>
  <c r="H97" i="1"/>
  <c r="H96" i="1"/>
  <c r="H95" i="1"/>
  <c r="H94" i="1"/>
  <c r="F96" i="1"/>
  <c r="F95" i="1"/>
  <c r="F94" i="1"/>
  <c r="F46" i="1"/>
  <c r="F43" i="1"/>
  <c r="F42" i="1"/>
  <c r="F31" i="1"/>
  <c r="F18" i="1"/>
  <c r="F13" i="1"/>
  <c r="H18" i="1"/>
  <c r="H13" i="1"/>
  <c r="F39" i="1" l="1"/>
  <c r="G81" i="1" l="1"/>
  <c r="H81" i="1" s="1"/>
  <c r="F81" i="1"/>
  <c r="F20" i="1"/>
  <c r="D6" i="1"/>
  <c r="D23" i="1" s="1"/>
  <c r="H20" i="1" l="1"/>
  <c r="F7" i="1"/>
  <c r="H7" i="1" l="1"/>
  <c r="E90" i="1" l="1"/>
  <c r="E106" i="1" l="1"/>
  <c r="E88" i="1"/>
  <c r="E19" i="1"/>
  <c r="F19" i="1" s="1"/>
  <c r="I41" i="1" l="1"/>
  <c r="C6" i="1"/>
  <c r="D38" i="1" l="1"/>
  <c r="C51" i="1" l="1"/>
  <c r="C9" i="1"/>
  <c r="G90" i="1" l="1"/>
  <c r="G106" i="1" s="1"/>
  <c r="G93" i="1"/>
  <c r="H93" i="1" s="1"/>
  <c r="G88" i="1" l="1"/>
  <c r="H88" i="1" l="1"/>
  <c r="H41" i="1" l="1"/>
  <c r="F41" i="1"/>
  <c r="E57" i="1"/>
  <c r="F57" i="1" s="1"/>
  <c r="E56" i="1"/>
  <c r="F56" i="1" s="1"/>
  <c r="E54" i="1"/>
  <c r="E53" i="1"/>
  <c r="E52" i="1"/>
  <c r="E40" i="1"/>
  <c r="F40" i="1" s="1"/>
  <c r="F93" i="1"/>
  <c r="D106" i="1" l="1"/>
  <c r="D88" i="1"/>
  <c r="F88" i="1" s="1"/>
  <c r="G54" i="1"/>
  <c r="F54" i="1"/>
  <c r="G53" i="1"/>
  <c r="F53" i="1"/>
  <c r="G52" i="1"/>
  <c r="F52" i="1"/>
  <c r="G56" i="1"/>
  <c r="D59" i="1"/>
  <c r="E17" i="1"/>
  <c r="F17" i="1" s="1"/>
  <c r="F14" i="1"/>
  <c r="F10" i="1"/>
  <c r="E6" i="1"/>
  <c r="F8" i="1" l="1"/>
  <c r="F6" i="1"/>
  <c r="D51" i="1"/>
  <c r="E55" i="1"/>
  <c r="F55" i="1" s="1"/>
  <c r="D73" i="1" l="1"/>
  <c r="D82" i="1" s="1"/>
  <c r="G55" i="1"/>
  <c r="D87" i="1" l="1"/>
  <c r="D102" i="1" s="1"/>
  <c r="G14" i="1"/>
  <c r="E51" i="1"/>
  <c r="F51" i="1" s="1"/>
  <c r="G51" i="1"/>
  <c r="H14" i="1" l="1"/>
  <c r="G19" i="1"/>
  <c r="H19" i="1" s="1"/>
  <c r="C19" i="1" l="1"/>
  <c r="E59" i="1" l="1"/>
  <c r="F59" i="1" l="1"/>
  <c r="G40" i="1"/>
  <c r="H40" i="1" s="1"/>
  <c r="F58" i="1"/>
  <c r="G39" i="1"/>
  <c r="H39" i="1" s="1"/>
  <c r="G38" i="1" l="1"/>
  <c r="G8" i="1"/>
  <c r="H8" i="1" l="1"/>
  <c r="G6" i="1"/>
  <c r="H6" i="1" s="1"/>
  <c r="H56" i="1"/>
  <c r="H54" i="1"/>
  <c r="G11" i="1" l="1"/>
  <c r="H11" i="1" s="1"/>
  <c r="F16" i="1" l="1"/>
  <c r="G16" i="1"/>
  <c r="H16" i="1" s="1"/>
  <c r="H55" i="1"/>
  <c r="G17" i="1"/>
  <c r="H17" i="1" s="1"/>
  <c r="C23" i="1" l="1"/>
  <c r="C38" i="1"/>
  <c r="C32" i="1" l="1"/>
  <c r="C73" i="1"/>
  <c r="C85" i="1" l="1"/>
  <c r="C101" i="1" s="1"/>
  <c r="C82" i="1"/>
  <c r="C87" i="1" l="1"/>
  <c r="G57" i="1"/>
  <c r="C102" i="1" l="1"/>
  <c r="C104" i="1" s="1"/>
  <c r="C105" i="1"/>
  <c r="E38" i="1"/>
  <c r="F38" i="1" s="1"/>
  <c r="H57" i="1"/>
  <c r="H44" i="1"/>
  <c r="H43" i="1"/>
  <c r="E73" i="1" l="1"/>
  <c r="F73" i="1" s="1"/>
  <c r="H10" i="1"/>
  <c r="H52" i="1"/>
  <c r="H51" i="1"/>
  <c r="G59" i="1" l="1"/>
  <c r="H59" i="1" s="1"/>
  <c r="G58" i="1"/>
  <c r="H58" i="1" l="1"/>
  <c r="G73" i="1"/>
  <c r="F74" i="1" l="1"/>
  <c r="H26" i="1"/>
  <c r="H28" i="1"/>
  <c r="H29" i="1"/>
  <c r="H76" i="1"/>
  <c r="H78" i="1"/>
  <c r="H79" i="1"/>
  <c r="G76" i="1"/>
  <c r="G79" i="1"/>
  <c r="G26" i="1"/>
  <c r="G29" i="1"/>
  <c r="F79" i="1"/>
  <c r="G28" i="1"/>
  <c r="E76" i="1"/>
  <c r="E78" i="1"/>
  <c r="F78" i="1"/>
  <c r="G78" i="1"/>
  <c r="E79" i="1"/>
  <c r="F28" i="1"/>
  <c r="F29" i="1"/>
  <c r="E24" i="1"/>
  <c r="E26" i="1"/>
  <c r="E28" i="1"/>
  <c r="E29" i="1"/>
  <c r="F76" i="1"/>
  <c r="G74" i="1"/>
  <c r="E74" i="1" l="1"/>
  <c r="F24" i="1"/>
  <c r="H74" i="1"/>
  <c r="H38" i="1" l="1"/>
  <c r="H53" i="1"/>
  <c r="G82" i="1" l="1"/>
  <c r="G87" i="1" l="1"/>
  <c r="G75" i="1"/>
  <c r="G77" i="1" s="1"/>
  <c r="G80" i="1" s="1"/>
  <c r="G102" i="1" l="1"/>
  <c r="E82" i="1"/>
  <c r="E87" i="1" s="1"/>
  <c r="E105" i="1" s="1"/>
  <c r="F82" i="1" l="1"/>
  <c r="H82" i="1"/>
  <c r="F75" i="1"/>
  <c r="F77" i="1" s="1"/>
  <c r="F80" i="1" s="1"/>
  <c r="H75" i="1"/>
  <c r="H77" i="1" s="1"/>
  <c r="H80" i="1" s="1"/>
  <c r="E75" i="1"/>
  <c r="E77" i="1" s="1"/>
  <c r="E80" i="1" s="1"/>
  <c r="G24" i="1"/>
  <c r="H24" i="1"/>
  <c r="F87" i="1" l="1"/>
  <c r="H87" i="1"/>
  <c r="E102" i="1"/>
  <c r="D32" i="1"/>
  <c r="D85" i="1" s="1"/>
  <c r="D101" i="1" s="1"/>
  <c r="D104" i="1" s="1"/>
  <c r="E12" i="1"/>
  <c r="F12" i="1" s="1"/>
  <c r="G12" i="1" l="1"/>
  <c r="G9" i="1" s="1"/>
  <c r="E9" i="1"/>
  <c r="H12" i="1" l="1"/>
  <c r="G23" i="1"/>
  <c r="F9" i="1"/>
  <c r="E23" i="1"/>
  <c r="H9" i="1" l="1"/>
  <c r="G86" i="1"/>
  <c r="G25" i="1"/>
  <c r="G27" i="1" s="1"/>
  <c r="G30" i="1" s="1"/>
  <c r="G32" i="1"/>
  <c r="G85" i="1" s="1"/>
  <c r="F23" i="1"/>
  <c r="F25" i="1" s="1"/>
  <c r="F27" i="1" s="1"/>
  <c r="F30" i="1" s="1"/>
  <c r="E86" i="1"/>
  <c r="E25" i="1"/>
  <c r="E27" i="1" s="1"/>
  <c r="E30" i="1" s="1"/>
  <c r="E32" i="1"/>
  <c r="E85" i="1" s="1"/>
  <c r="H23" i="1"/>
  <c r="H25" i="1" s="1"/>
  <c r="H27" i="1" s="1"/>
  <c r="H30" i="1" s="1"/>
  <c r="H85" i="1" l="1"/>
  <c r="G101" i="1"/>
  <c r="G104" i="1" s="1"/>
  <c r="F32" i="1"/>
  <c r="H32" i="1"/>
  <c r="F86" i="1"/>
  <c r="H86" i="1"/>
  <c r="E101" i="1" l="1"/>
  <c r="E104" i="1" s="1"/>
  <c r="F85" i="1"/>
</calcChain>
</file>

<file path=xl/sharedStrings.xml><?xml version="1.0" encoding="utf-8"?>
<sst xmlns="http://schemas.openxmlformats.org/spreadsheetml/2006/main" count="89" uniqueCount="81">
  <si>
    <t>DAŇOVÉ PŘÍJMY</t>
  </si>
  <si>
    <t>NEDAŇOVÉ PŘÍJMY</t>
  </si>
  <si>
    <t>KAPITÁLOVÉ PŘÍJMY</t>
  </si>
  <si>
    <t>DOTACE   CELKEM</t>
  </si>
  <si>
    <t xml:space="preserve">PŘÍJMY CELKEM </t>
  </si>
  <si>
    <t>VÝDAJE CELKEM</t>
  </si>
  <si>
    <t>Saldo příjmů a výdajů</t>
  </si>
  <si>
    <t>PŘÍJMY CELKEM</t>
  </si>
  <si>
    <t>FINANCOVÁNÍ CELKEM</t>
  </si>
  <si>
    <t>z toho: daňové příjmy</t>
  </si>
  <si>
    <t xml:space="preserve">           správní poplatky</t>
  </si>
  <si>
    <t>z toho:  souhrnný fin. vztah k SR</t>
  </si>
  <si>
    <t>z toho: příjmy z pronájmu</t>
  </si>
  <si>
    <t xml:space="preserve">          přijaté sankční platby</t>
  </si>
  <si>
    <t xml:space="preserve">          příjmy z úroků</t>
  </si>
  <si>
    <t xml:space="preserve">         odvody příspěvkových organizací </t>
  </si>
  <si>
    <t xml:space="preserve">         fond - voda (poplatky za odběr vody)</t>
  </si>
  <si>
    <t xml:space="preserve">PŘÍJMY   </t>
  </si>
  <si>
    <t>VÝDAJE</t>
  </si>
  <si>
    <t xml:space="preserve">Příspěvkové organizace  </t>
  </si>
  <si>
    <t>Sociální fond</t>
  </si>
  <si>
    <t>Fond  - voda</t>
  </si>
  <si>
    <t xml:space="preserve">z toho: oblast školství </t>
  </si>
  <si>
    <t xml:space="preserve">          oblast sociálních věcí </t>
  </si>
  <si>
    <t xml:space="preserve">          oblast kultury</t>
  </si>
  <si>
    <t xml:space="preserve">          oblast dopravy </t>
  </si>
  <si>
    <t xml:space="preserve">          oblast zdravotnictví </t>
  </si>
  <si>
    <t xml:space="preserve">         krajský úřad a zastupitelé</t>
  </si>
  <si>
    <t>Financování - přijatý úvěr  (+)</t>
  </si>
  <si>
    <t>Financování - zapojení nevyužitých prostředků předcházejícího roku (přebytek)</t>
  </si>
  <si>
    <t xml:space="preserve">          oblast zdravotnictví (NOK, a.s.)</t>
  </si>
  <si>
    <t xml:space="preserve">         splátky půjček a ostatní nedaňové příjmy</t>
  </si>
  <si>
    <t>Číslo řádku</t>
  </si>
  <si>
    <t xml:space="preserve">          z toho: PPP - Dub nad Moravou </t>
  </si>
  <si>
    <t xml:space="preserve">          Komerční banka (investice) - úroky</t>
  </si>
  <si>
    <t xml:space="preserve">           EIB  - úroky</t>
  </si>
  <si>
    <t xml:space="preserve">Financování - splátky úvěru  (-) </t>
  </si>
  <si>
    <t xml:space="preserve">          EIB  - jistina</t>
  </si>
  <si>
    <t xml:space="preserve">Odbory (kanceláře) - provozní výdaje a dotační tituly </t>
  </si>
  <si>
    <t>a) provozní výdaje odborů</t>
  </si>
  <si>
    <t>b) dotační tituly</t>
  </si>
  <si>
    <t xml:space="preserve"> z toho: EIB (Modernizace silniční síte) - úroky</t>
  </si>
  <si>
    <t xml:space="preserve">          Komerční banka  - jistina</t>
  </si>
  <si>
    <t xml:space="preserve">a) příspěvek na provoz </t>
  </si>
  <si>
    <t>b) příspěve na provoz - mzdové náklady</t>
  </si>
  <si>
    <t>c) příspěvek na provoz - odpisy</t>
  </si>
  <si>
    <t>Investiční výdaje</t>
  </si>
  <si>
    <t xml:space="preserve">d) příspěvek na provoz - nájemné, ostatní </t>
  </si>
  <si>
    <t>a) rozpracované investice</t>
  </si>
  <si>
    <t>b) alokace 5 - 12 - podíl Olomouckého kraje</t>
  </si>
  <si>
    <t xml:space="preserve">          ostatní nedaňové příjmy</t>
  </si>
  <si>
    <t xml:space="preserve">         sociální fond</t>
  </si>
  <si>
    <t>Konsolidace</t>
  </si>
  <si>
    <t>PŘÍJMY CELKEM (po konsolidaci)</t>
  </si>
  <si>
    <t>VÝDAJE CELKEM (po konsolidaci)</t>
  </si>
  <si>
    <t>e) dopravní obslužnost</t>
  </si>
  <si>
    <t>b) projekty spolufinancované z evropských fondů</t>
  </si>
  <si>
    <t>z toho: EIB (Modernizace silniční sítě) - jistina</t>
  </si>
  <si>
    <t xml:space="preserve">          Komerční banka - revolving (předfinancování projektů)</t>
  </si>
  <si>
    <t xml:space="preserve">Střednědobý výhled rozpočtu </t>
  </si>
  <si>
    <t xml:space="preserve">          Komerční banka - úvěr (kofinancování projektů)</t>
  </si>
  <si>
    <t xml:space="preserve">c) úroky z úvěru </t>
  </si>
  <si>
    <t xml:space="preserve">c) nové investice </t>
  </si>
  <si>
    <t>v tis.Kč</t>
  </si>
  <si>
    <t xml:space="preserve">    </t>
  </si>
  <si>
    <t>investiční přijaté transfery od obcí</t>
  </si>
  <si>
    <t>d) nové nákupy PO</t>
  </si>
  <si>
    <t>22/21 (%)</t>
  </si>
  <si>
    <t>Schválený rozpočet 2020</t>
  </si>
  <si>
    <t>23/22 (%)</t>
  </si>
  <si>
    <t>1. Střednědobý výhled rozpočtu Olomouckého kraje na období 2022 - 2023</t>
  </si>
  <si>
    <t>ostatní investiční přijaté transfery ze SR</t>
  </si>
  <si>
    <t xml:space="preserve">          Komerční banka (SSOK - revolvingový úvěr)</t>
  </si>
  <si>
    <t xml:space="preserve">         Komerční banka (SSOK - úvěr na investice)</t>
  </si>
  <si>
    <t xml:space="preserve">          Komerční banka - revolving II</t>
  </si>
  <si>
    <t xml:space="preserve">         Komerční banka (úvěr - kofinancování) - jistina</t>
  </si>
  <si>
    <t xml:space="preserve">        Komerční banka (revolvingový úvěr - propad příjmů)</t>
  </si>
  <si>
    <t xml:space="preserve">         Komerční banka - revolving (1 mld. Kč)</t>
  </si>
  <si>
    <t>z toho: Komerční banka - revolvingový úvěr (1 mld. Kč)</t>
  </si>
  <si>
    <t xml:space="preserve">           Komerční banka - revolvingový úvěr II</t>
  </si>
  <si>
    <t>Schválený rozpočet na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</si>
</sst>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6"/>
      <name val="Arial"/>
      <family val="2"/>
      <charset val="238"/>
    </font>
    <font>
      <b/>
      <sz val="10"/>
      <color indexed="40"/>
      <name val="Arial"/>
      <family val="2"/>
      <charset val="238"/>
    </font>
    <font>
      <b/>
      <sz val="11.6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auto="1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auto="1"/>
      </bottom>
      <diagonal/>
    </border>
  </borders>
  <cellStyleXfs count="2">
    <xf numFmtId="0" fontId="0" fillId="0" borderId="0"/>
    <xf numFmtId="0" fontId="1" fillId="0" borderId="0"/>
  </cellStyleXfs>
  <cellXfs count="244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9" fillId="0" borderId="0" xfId="0" applyFont="1" applyFill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13" fillId="0" borderId="0" xfId="0" applyFont="1" applyFill="1" applyBorder="1" applyAlignment="1">
      <alignment vertical="center"/>
    </xf>
    <xf numFmtId="0" fontId="13" fillId="0" borderId="0" xfId="0" applyFont="1" applyFill="1"/>
    <xf numFmtId="0" fontId="13" fillId="2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164" fontId="7" fillId="0" borderId="2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3" borderId="9" xfId="0" applyFont="1" applyFill="1" applyBorder="1" applyAlignment="1">
      <alignment horizontal="left" vertical="center"/>
    </xf>
    <xf numFmtId="3" fontId="4" fillId="3" borderId="10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/>
    <xf numFmtId="3" fontId="5" fillId="3" borderId="10" xfId="0" applyNumberFormat="1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horizontal="right" vertical="top"/>
    </xf>
    <xf numFmtId="164" fontId="14" fillId="3" borderId="11" xfId="0" applyNumberFormat="1" applyFont="1" applyFill="1" applyBorder="1" applyAlignment="1">
      <alignment horizontal="right" vertical="center"/>
    </xf>
    <xf numFmtId="3" fontId="4" fillId="3" borderId="10" xfId="0" applyNumberFormat="1" applyFont="1" applyFill="1" applyBorder="1" applyAlignment="1"/>
    <xf numFmtId="0" fontId="4" fillId="3" borderId="0" xfId="0" applyFont="1" applyFill="1" applyAlignment="1"/>
    <xf numFmtId="0" fontId="7" fillId="0" borderId="12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/>
    </xf>
    <xf numFmtId="164" fontId="7" fillId="0" borderId="17" xfId="0" applyNumberFormat="1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/>
    </xf>
    <xf numFmtId="3" fontId="15" fillId="0" borderId="3" xfId="0" applyNumberFormat="1" applyFont="1" applyFill="1" applyBorder="1" applyAlignment="1">
      <alignment vertical="center"/>
    </xf>
    <xf numFmtId="164" fontId="15" fillId="0" borderId="2" xfId="0" applyNumberFormat="1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left" vertical="center" wrapText="1"/>
    </xf>
    <xf numFmtId="3" fontId="5" fillId="4" borderId="3" xfId="0" applyNumberFormat="1" applyFont="1" applyFill="1" applyBorder="1" applyAlignment="1">
      <alignment vertical="center"/>
    </xf>
    <xf numFmtId="164" fontId="5" fillId="4" borderId="2" xfId="0" applyNumberFormat="1" applyFont="1" applyFill="1" applyBorder="1"/>
    <xf numFmtId="3" fontId="5" fillId="4" borderId="3" xfId="0" applyNumberFormat="1" applyFont="1" applyFill="1" applyBorder="1"/>
    <xf numFmtId="164" fontId="7" fillId="0" borderId="2" xfId="0" applyNumberFormat="1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3" fontId="5" fillId="4" borderId="1" xfId="0" applyNumberFormat="1" applyFont="1" applyFill="1" applyBorder="1" applyAlignment="1">
      <alignment horizontal="right" vertical="center"/>
    </xf>
    <xf numFmtId="164" fontId="5" fillId="4" borderId="8" xfId="0" applyNumberFormat="1" applyFont="1" applyFill="1" applyBorder="1" applyAlignment="1">
      <alignment horizontal="right" vertical="center"/>
    </xf>
    <xf numFmtId="0" fontId="5" fillId="4" borderId="0" xfId="0" applyFont="1" applyFill="1" applyAlignment="1">
      <alignment vertical="center"/>
    </xf>
    <xf numFmtId="164" fontId="5" fillId="4" borderId="2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 shrinkToFit="1"/>
    </xf>
    <xf numFmtId="164" fontId="5" fillId="4" borderId="13" xfId="0" applyNumberFormat="1" applyFont="1" applyFill="1" applyBorder="1" applyAlignment="1">
      <alignment horizontal="right" vertical="center"/>
    </xf>
    <xf numFmtId="0" fontId="5" fillId="4" borderId="0" xfId="0" applyFont="1" applyFill="1"/>
    <xf numFmtId="0" fontId="5" fillId="4" borderId="12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/>
    <xf numFmtId="0" fontId="5" fillId="4" borderId="17" xfId="0" applyFont="1" applyFill="1" applyBorder="1" applyAlignment="1">
      <alignment horizontal="left"/>
    </xf>
    <xf numFmtId="3" fontId="5" fillId="4" borderId="3" xfId="0" applyNumberFormat="1" applyFont="1" applyFill="1" applyBorder="1" applyAlignment="1"/>
    <xf numFmtId="164" fontId="5" fillId="4" borderId="2" xfId="0" applyNumberFormat="1" applyFont="1" applyFill="1" applyBorder="1" applyAlignment="1">
      <alignment horizontal="right"/>
    </xf>
    <xf numFmtId="0" fontId="5" fillId="4" borderId="0" xfId="0" applyFont="1" applyFill="1" applyAlignment="1"/>
    <xf numFmtId="0" fontId="5" fillId="4" borderId="18" xfId="0" applyFont="1" applyFill="1" applyBorder="1" applyAlignment="1">
      <alignment horizontal="left"/>
    </xf>
    <xf numFmtId="3" fontId="5" fillId="4" borderId="4" xfId="0" applyNumberFormat="1" applyFont="1" applyFill="1" applyBorder="1" applyAlignment="1"/>
    <xf numFmtId="3" fontId="16" fillId="0" borderId="0" xfId="0" applyNumberFormat="1" applyFont="1" applyFill="1"/>
    <xf numFmtId="164" fontId="16" fillId="0" borderId="0" xfId="0" applyNumberFormat="1" applyFont="1" applyFill="1" applyBorder="1" applyAlignment="1">
      <alignment horizontal="right"/>
    </xf>
    <xf numFmtId="0" fontId="17" fillId="0" borderId="0" xfId="0" applyFont="1" applyFill="1" applyAlignment="1"/>
    <xf numFmtId="0" fontId="17" fillId="0" borderId="0" xfId="0" applyFont="1" applyFill="1"/>
    <xf numFmtId="0" fontId="3" fillId="0" borderId="0" xfId="0" applyFont="1" applyFill="1" applyAlignment="1">
      <alignment horizontal="left"/>
    </xf>
    <xf numFmtId="3" fontId="5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4" borderId="33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4" fillId="3" borderId="9" xfId="0" applyFont="1" applyFill="1" applyBorder="1" applyAlignment="1"/>
    <xf numFmtId="3" fontId="4" fillId="3" borderId="6" xfId="0" applyNumberFormat="1" applyFont="1" applyFill="1" applyBorder="1" applyAlignment="1"/>
    <xf numFmtId="0" fontId="15" fillId="0" borderId="19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3" fontId="4" fillId="5" borderId="6" xfId="0" applyNumberFormat="1" applyFont="1" applyFill="1" applyBorder="1" applyAlignment="1"/>
    <xf numFmtId="164" fontId="14" fillId="3" borderId="15" xfId="0" applyNumberFormat="1" applyFont="1" applyFill="1" applyBorder="1" applyAlignment="1">
      <alignment horizontal="right"/>
    </xf>
    <xf numFmtId="164" fontId="5" fillId="4" borderId="17" xfId="0" applyNumberFormat="1" applyFont="1" applyFill="1" applyBorder="1" applyAlignment="1">
      <alignment horizontal="right" vertical="center"/>
    </xf>
    <xf numFmtId="3" fontId="15" fillId="0" borderId="23" xfId="0" applyNumberFormat="1" applyFont="1" applyFill="1" applyBorder="1" applyAlignment="1"/>
    <xf numFmtId="3" fontId="4" fillId="5" borderId="10" xfId="0" applyNumberFormat="1" applyFont="1" applyFill="1" applyBorder="1" applyAlignment="1"/>
    <xf numFmtId="164" fontId="15" fillId="0" borderId="17" xfId="0" applyNumberFormat="1" applyFont="1" applyFill="1" applyBorder="1" applyAlignment="1">
      <alignment horizontal="right" vertical="center"/>
    </xf>
    <xf numFmtId="3" fontId="7" fillId="6" borderId="3" xfId="0" applyNumberFormat="1" applyFont="1" applyFill="1" applyBorder="1" applyAlignment="1">
      <alignment horizontal="left" vertical="center"/>
    </xf>
    <xf numFmtId="3" fontId="5" fillId="4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3" fontId="15" fillId="6" borderId="3" xfId="0" applyNumberFormat="1" applyFont="1" applyFill="1" applyBorder="1" applyAlignment="1">
      <alignment vertical="center"/>
    </xf>
    <xf numFmtId="3" fontId="7" fillId="0" borderId="12" xfId="0" applyNumberFormat="1" applyFont="1" applyFill="1" applyBorder="1"/>
    <xf numFmtId="3" fontId="7" fillId="0" borderId="34" xfId="0" applyNumberFormat="1" applyFont="1" applyFill="1" applyBorder="1"/>
    <xf numFmtId="3" fontId="7" fillId="0" borderId="4" xfId="0" applyNumberFormat="1" applyFont="1" applyFill="1" applyBorder="1" applyAlignment="1"/>
    <xf numFmtId="3" fontId="5" fillId="4" borderId="34" xfId="0" applyNumberFormat="1" applyFont="1" applyFill="1" applyBorder="1" applyAlignment="1"/>
    <xf numFmtId="3" fontId="15" fillId="0" borderId="31" xfId="0" applyNumberFormat="1" applyFont="1" applyFill="1" applyBorder="1" applyAlignment="1"/>
    <xf numFmtId="3" fontId="7" fillId="6" borderId="12" xfId="0" applyNumberFormat="1" applyFont="1" applyFill="1" applyBorder="1" applyAlignment="1">
      <alignment horizontal="left" vertical="center"/>
    </xf>
    <xf numFmtId="3" fontId="5" fillId="4" borderId="0" xfId="0" applyNumberFormat="1" applyFont="1" applyFill="1" applyAlignment="1">
      <alignment vertical="center"/>
    </xf>
    <xf numFmtId="3" fontId="6" fillId="0" borderId="0" xfId="0" applyNumberFormat="1" applyFont="1" applyFill="1"/>
    <xf numFmtId="3" fontId="7" fillId="0" borderId="38" xfId="0" applyNumberFormat="1" applyFont="1" applyFill="1" applyBorder="1"/>
    <xf numFmtId="3" fontId="7" fillId="0" borderId="39" xfId="0" applyNumberFormat="1" applyFont="1" applyFill="1" applyBorder="1" applyAlignment="1"/>
    <xf numFmtId="0" fontId="1" fillId="0" borderId="0" xfId="0" applyFont="1" applyFill="1"/>
    <xf numFmtId="0" fontId="7" fillId="6" borderId="12" xfId="0" applyFont="1" applyFill="1" applyBorder="1" applyAlignment="1">
      <alignment horizontal="left" vertical="center"/>
    </xf>
    <xf numFmtId="0" fontId="7" fillId="6" borderId="37" xfId="0" applyFont="1" applyFill="1" applyBorder="1" applyAlignment="1">
      <alignment horizontal="left"/>
    </xf>
    <xf numFmtId="0" fontId="16" fillId="0" borderId="0" xfId="0" applyFont="1" applyFill="1"/>
    <xf numFmtId="164" fontId="20" fillId="0" borderId="2" xfId="0" applyNumberFormat="1" applyFont="1" applyFill="1" applyBorder="1" applyAlignment="1">
      <alignment horizontal="right" vertical="center"/>
    </xf>
    <xf numFmtId="3" fontId="20" fillId="0" borderId="3" xfId="0" applyNumberFormat="1" applyFont="1" applyFill="1" applyBorder="1" applyAlignment="1">
      <alignment vertical="center"/>
    </xf>
    <xf numFmtId="164" fontId="20" fillId="0" borderId="17" xfId="0" applyNumberFormat="1" applyFont="1" applyFill="1" applyBorder="1" applyAlignment="1">
      <alignment horizontal="right" vertical="center"/>
    </xf>
    <xf numFmtId="164" fontId="20" fillId="0" borderId="3" xfId="0" applyNumberFormat="1" applyFont="1" applyFill="1" applyBorder="1" applyAlignment="1">
      <alignment vertical="center"/>
    </xf>
    <xf numFmtId="3" fontId="19" fillId="0" borderId="20" xfId="0" applyNumberFormat="1" applyFont="1" applyFill="1" applyBorder="1" applyAlignment="1"/>
    <xf numFmtId="3" fontId="19" fillId="0" borderId="0" xfId="0" applyNumberFormat="1" applyFont="1" applyFill="1" applyBorder="1" applyAlignment="1"/>
    <xf numFmtId="3" fontId="19" fillId="2" borderId="0" xfId="0" applyNumberFormat="1" applyFont="1" applyFill="1" applyBorder="1" applyAlignment="1">
      <alignment vertical="center"/>
    </xf>
    <xf numFmtId="164" fontId="19" fillId="2" borderId="0" xfId="0" applyNumberFormat="1" applyFont="1" applyFill="1" applyBorder="1" applyAlignment="1">
      <alignment vertical="center"/>
    </xf>
    <xf numFmtId="164" fontId="21" fillId="2" borderId="0" xfId="0" applyNumberFormat="1" applyFont="1" applyFill="1" applyBorder="1" applyAlignment="1">
      <alignment horizontal="right" vertical="top"/>
    </xf>
    <xf numFmtId="3" fontId="20" fillId="0" borderId="39" xfId="0" applyNumberFormat="1" applyFont="1" applyFill="1" applyBorder="1" applyAlignment="1"/>
    <xf numFmtId="3" fontId="19" fillId="0" borderId="0" xfId="0" applyNumberFormat="1" applyFont="1" applyFill="1" applyAlignment="1"/>
    <xf numFmtId="3" fontId="19" fillId="0" borderId="0" xfId="0" applyNumberFormat="1" applyFont="1" applyFill="1"/>
    <xf numFmtId="3" fontId="7" fillId="0" borderId="33" xfId="0" applyNumberFormat="1" applyFont="1" applyFill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/>
    </xf>
    <xf numFmtId="3" fontId="7" fillId="0" borderId="12" xfId="0" applyNumberFormat="1" applyFont="1" applyFill="1" applyBorder="1" applyAlignment="1">
      <alignment horizontal="right" vertical="center"/>
    </xf>
    <xf numFmtId="164" fontId="7" fillId="0" borderId="12" xfId="0" applyNumberFormat="1" applyFont="1" applyFill="1" applyBorder="1" applyAlignment="1">
      <alignment horizontal="right"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7" fillId="0" borderId="12" xfId="0" applyNumberFormat="1" applyFont="1" applyFill="1" applyBorder="1" applyAlignment="1">
      <alignment vertical="center"/>
    </xf>
    <xf numFmtId="3" fontId="15" fillId="0" borderId="12" xfId="0" applyNumberFormat="1" applyFont="1" applyFill="1" applyBorder="1" applyAlignment="1">
      <alignment vertical="center"/>
    </xf>
    <xf numFmtId="3" fontId="5" fillId="4" borderId="12" xfId="0" applyNumberFormat="1" applyFont="1" applyFill="1" applyBorder="1" applyAlignment="1">
      <alignment vertical="center"/>
    </xf>
    <xf numFmtId="3" fontId="5" fillId="4" borderId="12" xfId="0" applyNumberFormat="1" applyFont="1" applyFill="1" applyBorder="1"/>
    <xf numFmtId="3" fontId="15" fillId="0" borderId="5" xfId="0" applyNumberFormat="1" applyFont="1" applyFill="1" applyBorder="1" applyAlignment="1">
      <alignment vertical="center"/>
    </xf>
    <xf numFmtId="3" fontId="15" fillId="0" borderId="31" xfId="0" applyNumberFormat="1" applyFont="1" applyFill="1" applyBorder="1" applyAlignment="1">
      <alignment vertical="center"/>
    </xf>
    <xf numFmtId="3" fontId="15" fillId="0" borderId="7" xfId="0" applyNumberFormat="1" applyFont="1" applyFill="1" applyBorder="1" applyAlignment="1">
      <alignment vertical="center"/>
    </xf>
    <xf numFmtId="3" fontId="7" fillId="0" borderId="34" xfId="0" applyNumberFormat="1" applyFont="1" applyFill="1" applyBorder="1" applyAlignment="1">
      <alignment vertical="center"/>
    </xf>
    <xf numFmtId="3" fontId="15" fillId="0" borderId="34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3" fontId="5" fillId="3" borderId="9" xfId="0" applyNumberFormat="1" applyFont="1" applyFill="1" applyBorder="1" applyAlignment="1">
      <alignment vertical="center"/>
    </xf>
    <xf numFmtId="3" fontId="5" fillId="4" borderId="33" xfId="0" applyNumberFormat="1" applyFont="1" applyFill="1" applyBorder="1" applyAlignment="1"/>
    <xf numFmtId="3" fontId="5" fillId="4" borderId="12" xfId="0" applyNumberFormat="1" applyFont="1" applyFill="1" applyBorder="1" applyAlignment="1"/>
    <xf numFmtId="3" fontId="5" fillId="4" borderId="12" xfId="0" applyNumberFormat="1" applyFont="1" applyFill="1" applyBorder="1" applyAlignment="1">
      <alignment horizontal="right" vertical="center"/>
    </xf>
    <xf numFmtId="3" fontId="7" fillId="0" borderId="12" xfId="0" applyNumberFormat="1" applyFont="1" applyFill="1" applyBorder="1" applyAlignment="1">
      <alignment vertical="center"/>
    </xf>
    <xf numFmtId="3" fontId="6" fillId="0" borderId="31" xfId="0" applyNumberFormat="1" applyFont="1" applyFill="1" applyBorder="1" applyAlignment="1"/>
    <xf numFmtId="0" fontId="6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/>
    <xf numFmtId="3" fontId="6" fillId="0" borderId="23" xfId="0" applyNumberFormat="1" applyFont="1" applyFill="1" applyBorder="1" applyAlignment="1"/>
    <xf numFmtId="164" fontId="6" fillId="0" borderId="36" xfId="0" applyNumberFormat="1" applyFont="1" applyFill="1" applyBorder="1" applyAlignment="1"/>
    <xf numFmtId="3" fontId="6" fillId="0" borderId="36" xfId="0" applyNumberFormat="1" applyFont="1" applyFill="1" applyBorder="1" applyAlignment="1"/>
    <xf numFmtId="0" fontId="10" fillId="0" borderId="0" xfId="0" applyFont="1" applyFill="1"/>
    <xf numFmtId="164" fontId="19" fillId="0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0" fontId="15" fillId="4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/>
    </xf>
    <xf numFmtId="164" fontId="22" fillId="4" borderId="17" xfId="0" applyNumberFormat="1" applyFont="1" applyFill="1" applyBorder="1" applyAlignment="1">
      <alignment horizontal="right" vertical="center" shrinkToFit="1"/>
    </xf>
    <xf numFmtId="164" fontId="5" fillId="4" borderId="2" xfId="0" applyNumberFormat="1" applyFont="1" applyFill="1" applyBorder="1" applyAlignment="1">
      <alignment vertical="center"/>
    </xf>
    <xf numFmtId="3" fontId="23" fillId="0" borderId="0" xfId="0" applyNumberFormat="1" applyFont="1" applyFill="1" applyAlignment="1">
      <alignment horizontal="left"/>
    </xf>
    <xf numFmtId="3" fontId="18" fillId="3" borderId="9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/>
    <xf numFmtId="3" fontId="5" fillId="0" borderId="0" xfId="0" applyNumberFormat="1" applyFont="1" applyFill="1"/>
    <xf numFmtId="0" fontId="5" fillId="0" borderId="41" xfId="0" applyFont="1" applyFill="1" applyBorder="1" applyAlignment="1">
      <alignment horizontal="left" vertical="center"/>
    </xf>
    <xf numFmtId="3" fontId="5" fillId="0" borderId="42" xfId="0" applyNumberFormat="1" applyFont="1" applyFill="1" applyBorder="1" applyAlignment="1">
      <alignment vertical="center"/>
    </xf>
    <xf numFmtId="164" fontId="5" fillId="0" borderId="43" xfId="0" applyNumberFormat="1" applyFont="1" applyFill="1" applyBorder="1" applyAlignment="1">
      <alignment vertical="center"/>
    </xf>
    <xf numFmtId="0" fontId="5" fillId="5" borderId="28" xfId="0" applyFont="1" applyFill="1" applyBorder="1" applyAlignment="1">
      <alignment horizontal="left" vertical="center"/>
    </xf>
    <xf numFmtId="3" fontId="5" fillId="5" borderId="44" xfId="0" applyNumberFormat="1" applyFont="1" applyFill="1" applyBorder="1" applyAlignment="1">
      <alignment vertical="center"/>
    </xf>
    <xf numFmtId="164" fontId="5" fillId="5" borderId="30" xfId="0" applyNumberFormat="1" applyFont="1" applyFill="1" applyBorder="1" applyAlignment="1">
      <alignment horizontal="right" vertical="top" shrinkToFit="1"/>
    </xf>
    <xf numFmtId="3" fontId="5" fillId="5" borderId="29" xfId="0" applyNumberFormat="1" applyFont="1" applyFill="1" applyBorder="1" applyAlignment="1">
      <alignment vertical="center"/>
    </xf>
    <xf numFmtId="164" fontId="7" fillId="6" borderId="2" xfId="0" applyNumberFormat="1" applyFont="1" applyFill="1" applyBorder="1" applyAlignment="1">
      <alignment horizontal="left" vertical="center"/>
    </xf>
    <xf numFmtId="3" fontId="7" fillId="6" borderId="3" xfId="0" applyNumberFormat="1" applyFont="1" applyFill="1" applyBorder="1" applyAlignment="1">
      <alignment horizontal="right" vertical="center"/>
    </xf>
    <xf numFmtId="164" fontId="7" fillId="6" borderId="2" xfId="0" applyNumberFormat="1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left" vertical="center"/>
    </xf>
    <xf numFmtId="3" fontId="7" fillId="0" borderId="31" xfId="0" applyNumberFormat="1" applyFont="1" applyFill="1" applyBorder="1" applyAlignment="1">
      <alignment vertical="center"/>
    </xf>
    <xf numFmtId="164" fontId="20" fillId="0" borderId="23" xfId="0" applyNumberFormat="1" applyFont="1" applyFill="1" applyBorder="1" applyAlignment="1">
      <alignment vertical="center"/>
    </xf>
    <xf numFmtId="164" fontId="20" fillId="0" borderId="36" xfId="0" applyNumberFormat="1" applyFont="1" applyFill="1" applyBorder="1" applyAlignment="1">
      <alignment horizontal="right" vertical="center"/>
    </xf>
    <xf numFmtId="3" fontId="20" fillId="0" borderId="23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left"/>
    </xf>
    <xf numFmtId="3" fontId="7" fillId="0" borderId="0" xfId="0" applyNumberFormat="1" applyFont="1" applyFill="1" applyBorder="1"/>
    <xf numFmtId="3" fontId="7" fillId="0" borderId="0" xfId="0" applyNumberFormat="1" applyFont="1" applyFill="1" applyBorder="1" applyAlignment="1"/>
    <xf numFmtId="164" fontId="7" fillId="0" borderId="0" xfId="0" applyNumberFormat="1" applyFont="1" applyFill="1" applyBorder="1" applyAlignment="1">
      <alignment horizontal="right" vertical="center"/>
    </xf>
    <xf numFmtId="3" fontId="20" fillId="0" borderId="0" xfId="0" applyNumberFormat="1" applyFont="1" applyFill="1" applyBorder="1" applyAlignment="1"/>
    <xf numFmtId="164" fontId="20" fillId="0" borderId="0" xfId="0" applyNumberFormat="1" applyFont="1" applyFill="1" applyBorder="1" applyAlignment="1">
      <alignment horizontal="right" vertical="center"/>
    </xf>
    <xf numFmtId="164" fontId="7" fillId="6" borderId="12" xfId="0" applyNumberFormat="1" applyFont="1" applyFill="1" applyBorder="1" applyAlignment="1">
      <alignment horizontal="right" vertical="center"/>
    </xf>
    <xf numFmtId="3" fontId="7" fillId="6" borderId="33" xfId="0" applyNumberFormat="1" applyFont="1" applyFill="1" applyBorder="1" applyAlignment="1">
      <alignment horizontal="right" vertical="center"/>
    </xf>
    <xf numFmtId="164" fontId="7" fillId="0" borderId="45" xfId="0" applyNumberFormat="1" applyFont="1" applyFill="1" applyBorder="1" applyAlignment="1">
      <alignment horizontal="right" vertical="center"/>
    </xf>
    <xf numFmtId="164" fontId="20" fillId="0" borderId="46" xfId="0" applyNumberFormat="1" applyFont="1" applyFill="1" applyBorder="1" applyAlignment="1">
      <alignment horizontal="right" vertical="center"/>
    </xf>
    <xf numFmtId="0" fontId="15" fillId="0" borderId="19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right"/>
    </xf>
    <xf numFmtId="164" fontId="7" fillId="0" borderId="31" xfId="0" applyNumberFormat="1" applyFont="1" applyFill="1" applyBorder="1" applyAlignment="1">
      <alignment vertical="center"/>
    </xf>
    <xf numFmtId="0" fontId="6" fillId="0" borderId="31" xfId="0" applyFont="1" applyFill="1" applyBorder="1"/>
    <xf numFmtId="0" fontId="15" fillId="0" borderId="47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vertical="center"/>
    </xf>
    <xf numFmtId="164" fontId="6" fillId="2" borderId="36" xfId="0" applyNumberFormat="1" applyFont="1" applyFill="1" applyBorder="1" applyAlignment="1">
      <alignment vertical="center"/>
    </xf>
    <xf numFmtId="3" fontId="6" fillId="2" borderId="36" xfId="0" applyNumberFormat="1" applyFont="1" applyFill="1" applyBorder="1" applyAlignment="1">
      <alignment vertical="center"/>
    </xf>
    <xf numFmtId="0" fontId="15" fillId="2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3" fontId="5" fillId="0" borderId="10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horizontal="right" vertical="top"/>
    </xf>
    <xf numFmtId="0" fontId="15" fillId="2" borderId="19" xfId="0" applyFont="1" applyFill="1" applyBorder="1" applyAlignment="1">
      <alignment horizontal="center" vertical="center"/>
    </xf>
    <xf numFmtId="0" fontId="15" fillId="5" borderId="48" xfId="0" applyFont="1" applyFill="1" applyBorder="1" applyAlignment="1">
      <alignment horizontal="center" vertical="center"/>
    </xf>
    <xf numFmtId="164" fontId="5" fillId="3" borderId="30" xfId="0" applyNumberFormat="1" applyFont="1" applyFill="1" applyBorder="1" applyAlignment="1">
      <alignment horizontal="right" vertical="top"/>
    </xf>
    <xf numFmtId="164" fontId="18" fillId="4" borderId="2" xfId="0" applyNumberFormat="1" applyFont="1" applyFill="1" applyBorder="1" applyAlignment="1">
      <alignment horizontal="right"/>
    </xf>
    <xf numFmtId="0" fontId="15" fillId="4" borderId="5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0" fontId="15" fillId="0" borderId="49" xfId="0" applyFont="1" applyFill="1" applyBorder="1" applyAlignment="1">
      <alignment horizontal="center"/>
    </xf>
    <xf numFmtId="0" fontId="7" fillId="0" borderId="50" xfId="0" applyFont="1" applyFill="1" applyBorder="1" applyAlignment="1">
      <alignment horizontal="left"/>
    </xf>
    <xf numFmtId="3" fontId="7" fillId="0" borderId="49" xfId="0" applyNumberFormat="1" applyFont="1" applyFill="1" applyBorder="1"/>
    <xf numFmtId="3" fontId="7" fillId="0" borderId="51" xfId="0" applyNumberFormat="1" applyFont="1" applyFill="1" applyBorder="1"/>
    <xf numFmtId="3" fontId="7" fillId="0" borderId="52" xfId="0" applyNumberFormat="1" applyFont="1" applyFill="1" applyBorder="1" applyAlignment="1"/>
    <xf numFmtId="164" fontId="7" fillId="0" borderId="53" xfId="0" applyNumberFormat="1" applyFont="1" applyFill="1" applyBorder="1" applyAlignment="1">
      <alignment horizontal="right" vertical="center"/>
    </xf>
    <xf numFmtId="164" fontId="6" fillId="3" borderId="25" xfId="0" applyNumberFormat="1" applyFont="1" applyFill="1" applyBorder="1" applyAlignment="1">
      <alignment horizontal="center" vertical="center" wrapText="1"/>
    </xf>
    <xf numFmtId="164" fontId="6" fillId="3" borderId="26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3" fontId="15" fillId="0" borderId="4" xfId="1" applyNumberFormat="1" applyFont="1" applyFill="1" applyBorder="1" applyAlignment="1">
      <alignment horizontal="center" vertical="center"/>
    </xf>
    <xf numFmtId="3" fontId="15" fillId="0" borderId="23" xfId="1" applyNumberFormat="1" applyFont="1" applyFill="1" applyBorder="1" applyAlignment="1">
      <alignment horizontal="center" vertical="center"/>
    </xf>
    <xf numFmtId="3" fontId="15" fillId="0" borderId="24" xfId="1" applyNumberFormat="1" applyFont="1" applyFill="1" applyBorder="1" applyAlignment="1">
      <alignment horizontal="center" vertical="center"/>
    </xf>
    <xf numFmtId="164" fontId="15" fillId="0" borderId="27" xfId="0" applyNumberFormat="1" applyFont="1" applyFill="1" applyBorder="1" applyAlignment="1">
      <alignment horizontal="center" vertical="center" wrapText="1"/>
    </xf>
    <xf numFmtId="164" fontId="15" fillId="0" borderId="25" xfId="0" applyNumberFormat="1" applyFont="1" applyFill="1" applyBorder="1" applyAlignment="1">
      <alignment horizontal="center" vertical="center" wrapText="1"/>
    </xf>
    <xf numFmtId="164" fontId="15" fillId="0" borderId="26" xfId="0" applyNumberFormat="1" applyFont="1" applyFill="1" applyBorder="1" applyAlignment="1">
      <alignment horizontal="center" vertical="center" wrapText="1"/>
    </xf>
    <xf numFmtId="164" fontId="15" fillId="0" borderId="18" xfId="0" applyNumberFormat="1" applyFont="1" applyFill="1" applyBorder="1" applyAlignment="1">
      <alignment horizontal="center" vertical="center" wrapText="1"/>
    </xf>
    <xf numFmtId="164" fontId="15" fillId="0" borderId="36" xfId="0" applyNumberFormat="1" applyFont="1" applyFill="1" applyBorder="1" applyAlignment="1">
      <alignment horizontal="center" vertical="center" wrapText="1"/>
    </xf>
    <xf numFmtId="164" fontId="15" fillId="0" borderId="4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12" fillId="3" borderId="35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textRotation="90"/>
    </xf>
    <xf numFmtId="0" fontId="6" fillId="3" borderId="20" xfId="0" applyFont="1" applyFill="1" applyBorder="1" applyAlignment="1">
      <alignment horizontal="center" vertical="center" textRotation="90"/>
    </xf>
    <xf numFmtId="0" fontId="6" fillId="3" borderId="21" xfId="0" applyFont="1" applyFill="1" applyBorder="1" applyAlignment="1">
      <alignment horizontal="center" vertical="center" textRotation="90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3" fontId="5" fillId="3" borderId="35" xfId="0" applyNumberFormat="1" applyFont="1" applyFill="1" applyBorder="1" applyAlignment="1">
      <alignment horizontal="center" vertical="center" wrapText="1"/>
    </xf>
    <xf numFmtId="3" fontId="5" fillId="3" borderId="20" xfId="0" applyNumberFormat="1" applyFont="1" applyFill="1" applyBorder="1" applyAlignment="1">
      <alignment horizontal="center" vertical="center" wrapText="1"/>
    </xf>
    <xf numFmtId="3" fontId="5" fillId="3" borderId="21" xfId="0" applyNumberFormat="1" applyFont="1" applyFill="1" applyBorder="1" applyAlignment="1">
      <alignment horizontal="center" vertical="center" wrapText="1"/>
    </xf>
    <xf numFmtId="3" fontId="4" fillId="3" borderId="9" xfId="0" applyNumberFormat="1" applyFont="1" applyFill="1" applyBorder="1" applyAlignment="1">
      <alignment horizontal="center"/>
    </xf>
    <xf numFmtId="3" fontId="4" fillId="3" borderId="22" xfId="0" applyNumberFormat="1" applyFont="1" applyFill="1" applyBorder="1" applyAlignment="1">
      <alignment horizontal="center"/>
    </xf>
    <xf numFmtId="3" fontId="4" fillId="3" borderId="15" xfId="0" applyNumberFormat="1" applyFont="1" applyFill="1" applyBorder="1" applyAlignment="1">
      <alignment horizontal="center"/>
    </xf>
  </cellXfs>
  <cellStyles count="2">
    <cellStyle name="Normální" xfId="0" builtinId="0"/>
    <cellStyle name="normální_Sešit1" xfId="1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Z111"/>
  <sheetViews>
    <sheetView showGridLines="0" tabSelected="1" view="pageBreakPreview" topLeftCell="A43" zoomScaleNormal="100" zoomScaleSheetLayoutView="100" workbookViewId="0">
      <selection activeCell="N84" sqref="N84"/>
    </sheetView>
  </sheetViews>
  <sheetFormatPr defaultColWidth="9.140625" defaultRowHeight="12.75" x14ac:dyDescent="0.2"/>
  <cols>
    <col min="1" max="1" width="5.28515625" style="100" customWidth="1"/>
    <col min="2" max="2" width="56.85546875" style="2" customWidth="1"/>
    <col min="3" max="3" width="20.28515625" style="63" hidden="1" customWidth="1"/>
    <col min="4" max="4" width="23.5703125" style="63" customWidth="1"/>
    <col min="5" max="5" width="20.28515625" style="63" customWidth="1"/>
    <col min="6" max="6" width="8.140625" style="64" customWidth="1"/>
    <col min="7" max="7" width="20.28515625" style="63" customWidth="1"/>
    <col min="8" max="8" width="7.140625" style="64" customWidth="1"/>
    <col min="9" max="9" width="13.42578125" style="2" customWidth="1"/>
    <col min="10" max="16384" width="9.140625" style="2"/>
  </cols>
  <sheetData>
    <row r="1" spans="1:182" ht="25.5" customHeight="1" thickBot="1" x14ac:dyDescent="0.3">
      <c r="A1" s="1" t="s">
        <v>70</v>
      </c>
      <c r="B1" s="97"/>
      <c r="C1" s="145"/>
      <c r="D1" s="159"/>
      <c r="E1" s="1"/>
      <c r="F1" s="146"/>
      <c r="G1" s="1"/>
      <c r="H1" s="97" t="s">
        <v>63</v>
      </c>
    </row>
    <row r="2" spans="1:182" ht="17.25" customHeight="1" thickTop="1" thickBot="1" x14ac:dyDescent="0.3">
      <c r="A2" s="232" t="s">
        <v>32</v>
      </c>
      <c r="B2" s="229" t="s">
        <v>17</v>
      </c>
      <c r="C2" s="238" t="s">
        <v>68</v>
      </c>
      <c r="D2" s="238" t="s">
        <v>80</v>
      </c>
      <c r="E2" s="241" t="s">
        <v>59</v>
      </c>
      <c r="F2" s="242"/>
      <c r="G2" s="242"/>
      <c r="H2" s="243"/>
    </row>
    <row r="3" spans="1:182" s="3" customFormat="1" ht="18.75" customHeight="1" thickTop="1" x14ac:dyDescent="0.2">
      <c r="A3" s="233"/>
      <c r="B3" s="230"/>
      <c r="C3" s="239"/>
      <c r="D3" s="239"/>
      <c r="E3" s="217">
        <v>2022</v>
      </c>
      <c r="F3" s="215" t="s">
        <v>67</v>
      </c>
      <c r="G3" s="217">
        <v>2023</v>
      </c>
      <c r="H3" s="215" t="s">
        <v>69</v>
      </c>
    </row>
    <row r="4" spans="1:182" s="4" customFormat="1" ht="31.5" customHeight="1" x14ac:dyDescent="0.2">
      <c r="A4" s="233"/>
      <c r="B4" s="230"/>
      <c r="C4" s="239"/>
      <c r="D4" s="239"/>
      <c r="E4" s="217"/>
      <c r="F4" s="215"/>
      <c r="G4" s="217"/>
      <c r="H4" s="215"/>
    </row>
    <row r="5" spans="1:182" s="4" customFormat="1" ht="13.5" customHeight="1" thickBot="1" x14ac:dyDescent="0.25">
      <c r="A5" s="234"/>
      <c r="B5" s="231"/>
      <c r="C5" s="240"/>
      <c r="D5" s="240"/>
      <c r="E5" s="218"/>
      <c r="F5" s="216"/>
      <c r="G5" s="218"/>
      <c r="H5" s="216"/>
    </row>
    <row r="6" spans="1:182" s="49" customFormat="1" ht="17.100000000000001" customHeight="1" thickTop="1" x14ac:dyDescent="0.2">
      <c r="A6" s="147">
        <v>1</v>
      </c>
      <c r="B6" s="70" t="s">
        <v>0</v>
      </c>
      <c r="C6" s="114">
        <f>SUM(C7:C8)</f>
        <v>5462362</v>
      </c>
      <c r="D6" s="114">
        <f>SUM(D7:D8)</f>
        <v>4963689</v>
      </c>
      <c r="E6" s="47">
        <f>SUM(E7:E8)</f>
        <v>5031206</v>
      </c>
      <c r="F6" s="48">
        <f t="shared" ref="F6:F20" si="0">E6/D6*100</f>
        <v>101.36021817644094</v>
      </c>
      <c r="G6" s="47">
        <f>SUM(G7:G8)</f>
        <v>5395798</v>
      </c>
      <c r="H6" s="48">
        <f t="shared" ref="H6:H20" si="1">G6/E6*100</f>
        <v>107.24661244242435</v>
      </c>
    </row>
    <row r="7" spans="1:182" s="5" customFormat="1" ht="17.100000000000001" customHeight="1" x14ac:dyDescent="0.2">
      <c r="A7" s="148">
        <v>2</v>
      </c>
      <c r="B7" s="71" t="s">
        <v>9</v>
      </c>
      <c r="C7" s="113">
        <v>5461152</v>
      </c>
      <c r="D7" s="187">
        <v>4962504</v>
      </c>
      <c r="E7" s="19">
        <v>5030021</v>
      </c>
      <c r="F7" s="20">
        <f t="shared" si="0"/>
        <v>101.36054298394521</v>
      </c>
      <c r="G7" s="19">
        <v>5394613</v>
      </c>
      <c r="H7" s="20">
        <f t="shared" si="1"/>
        <v>107.24831963922219</v>
      </c>
    </row>
    <row r="8" spans="1:182" s="5" customFormat="1" ht="17.100000000000001" customHeight="1" x14ac:dyDescent="0.2">
      <c r="A8" s="148">
        <v>3</v>
      </c>
      <c r="B8" s="71" t="s">
        <v>10</v>
      </c>
      <c r="C8" s="113">
        <v>1210</v>
      </c>
      <c r="D8" s="187">
        <v>1185</v>
      </c>
      <c r="E8" s="19">
        <f>D8</f>
        <v>1185</v>
      </c>
      <c r="F8" s="20">
        <f t="shared" si="0"/>
        <v>100</v>
      </c>
      <c r="G8" s="19">
        <f>E8</f>
        <v>1185</v>
      </c>
      <c r="H8" s="20">
        <f t="shared" si="1"/>
        <v>100</v>
      </c>
    </row>
    <row r="9" spans="1:182" s="49" customFormat="1" ht="17.100000000000001" customHeight="1" x14ac:dyDescent="0.2">
      <c r="A9" s="149">
        <v>4</v>
      </c>
      <c r="B9" s="72" t="s">
        <v>1</v>
      </c>
      <c r="C9" s="117">
        <f>SUM(C10:C17)</f>
        <v>498987.5</v>
      </c>
      <c r="D9" s="117">
        <f>SUM(D10:D17)</f>
        <v>534294.6</v>
      </c>
      <c r="E9" s="84">
        <f>SUM(E10:E17)</f>
        <v>534099.6</v>
      </c>
      <c r="F9" s="50">
        <f t="shared" si="0"/>
        <v>99.963503280774319</v>
      </c>
      <c r="G9" s="84">
        <f>SUM(G10:G17)</f>
        <v>534599.30000000005</v>
      </c>
      <c r="H9" s="50">
        <f t="shared" si="1"/>
        <v>100.0935593286346</v>
      </c>
      <c r="FZ9" s="49">
        <v>761937.54647170787</v>
      </c>
    </row>
    <row r="10" spans="1:182" s="5" customFormat="1" ht="17.100000000000001" customHeight="1" x14ac:dyDescent="0.2">
      <c r="A10" s="148">
        <v>5</v>
      </c>
      <c r="B10" s="71" t="s">
        <v>12</v>
      </c>
      <c r="C10" s="116">
        <v>32657.3</v>
      </c>
      <c r="D10" s="186">
        <f>25+223+32868.1+142.2</f>
        <v>33258.299999999996</v>
      </c>
      <c r="E10" s="85">
        <f>D10</f>
        <v>33258.299999999996</v>
      </c>
      <c r="F10" s="20">
        <f t="shared" si="0"/>
        <v>100</v>
      </c>
      <c r="G10" s="85">
        <f>E10</f>
        <v>33258.299999999996</v>
      </c>
      <c r="H10" s="20">
        <f t="shared" si="1"/>
        <v>100</v>
      </c>
    </row>
    <row r="11" spans="1:182" s="5" customFormat="1" ht="17.100000000000001" customHeight="1" x14ac:dyDescent="0.2">
      <c r="A11" s="148">
        <v>6</v>
      </c>
      <c r="B11" s="71" t="s">
        <v>13</v>
      </c>
      <c r="C11" s="116">
        <v>3025</v>
      </c>
      <c r="D11" s="186">
        <f>800+2120</f>
        <v>2920</v>
      </c>
      <c r="E11" s="85">
        <v>3025</v>
      </c>
      <c r="F11" s="20">
        <f t="shared" si="0"/>
        <v>103.59589041095892</v>
      </c>
      <c r="G11" s="85">
        <f>E11</f>
        <v>3025</v>
      </c>
      <c r="H11" s="20">
        <f t="shared" si="1"/>
        <v>100</v>
      </c>
    </row>
    <row r="12" spans="1:182" s="5" customFormat="1" ht="17.100000000000001" customHeight="1" x14ac:dyDescent="0.2">
      <c r="A12" s="148">
        <v>7</v>
      </c>
      <c r="B12" s="71" t="s">
        <v>50</v>
      </c>
      <c r="C12" s="115">
        <f>154510+1330</f>
        <v>155840</v>
      </c>
      <c r="D12" s="186">
        <f>166571+1580</f>
        <v>168151</v>
      </c>
      <c r="E12" s="85">
        <f>D12</f>
        <v>168151</v>
      </c>
      <c r="F12" s="20">
        <f t="shared" si="0"/>
        <v>100</v>
      </c>
      <c r="G12" s="85">
        <f t="shared" ref="G12:G17" si="2">E12</f>
        <v>168151</v>
      </c>
      <c r="H12" s="20">
        <f t="shared" si="1"/>
        <v>100</v>
      </c>
    </row>
    <row r="13" spans="1:182" s="5" customFormat="1" ht="17.100000000000001" customHeight="1" x14ac:dyDescent="0.2">
      <c r="A13" s="148">
        <v>8</v>
      </c>
      <c r="B13" s="71" t="s">
        <v>14</v>
      </c>
      <c r="C13" s="116">
        <v>4000.2</v>
      </c>
      <c r="D13" s="186">
        <v>500.3</v>
      </c>
      <c r="E13" s="85">
        <f>D13</f>
        <v>500.3</v>
      </c>
      <c r="F13" s="20">
        <f t="shared" si="0"/>
        <v>100</v>
      </c>
      <c r="G13" s="85">
        <v>1000</v>
      </c>
      <c r="H13" s="20">
        <f t="shared" si="1"/>
        <v>199.8800719568259</v>
      </c>
      <c r="N13" s="5" t="s">
        <v>64</v>
      </c>
    </row>
    <row r="14" spans="1:182" s="5" customFormat="1" ht="17.100000000000001" customHeight="1" x14ac:dyDescent="0.2">
      <c r="A14" s="148">
        <v>9</v>
      </c>
      <c r="B14" s="71" t="s">
        <v>15</v>
      </c>
      <c r="C14" s="115">
        <v>257871</v>
      </c>
      <c r="D14" s="186">
        <f>286803-3000</f>
        <v>283803</v>
      </c>
      <c r="E14" s="85">
        <f>D14</f>
        <v>283803</v>
      </c>
      <c r="F14" s="20">
        <f t="shared" si="0"/>
        <v>100</v>
      </c>
      <c r="G14" s="85">
        <f>E14</f>
        <v>283803</v>
      </c>
      <c r="H14" s="20">
        <f t="shared" si="1"/>
        <v>100</v>
      </c>
    </row>
    <row r="15" spans="1:182" s="5" customFormat="1" ht="17.100000000000001" customHeight="1" x14ac:dyDescent="0.2">
      <c r="A15" s="148">
        <v>10</v>
      </c>
      <c r="B15" s="71" t="s">
        <v>31</v>
      </c>
      <c r="C15" s="115">
        <v>1065</v>
      </c>
      <c r="D15" s="186">
        <v>300</v>
      </c>
      <c r="E15" s="171"/>
      <c r="F15" s="172">
        <f>E15/D15*100</f>
        <v>0</v>
      </c>
      <c r="G15" s="171"/>
      <c r="H15" s="20">
        <v>0</v>
      </c>
    </row>
    <row r="16" spans="1:182" s="5" customFormat="1" ht="17.100000000000001" customHeight="1" x14ac:dyDescent="0.2">
      <c r="A16" s="148">
        <v>11</v>
      </c>
      <c r="B16" s="71" t="s">
        <v>16</v>
      </c>
      <c r="C16" s="115">
        <v>34000</v>
      </c>
      <c r="D16" s="186">
        <v>34300</v>
      </c>
      <c r="E16" s="85">
        <f>D16</f>
        <v>34300</v>
      </c>
      <c r="F16" s="20">
        <f t="shared" si="0"/>
        <v>100</v>
      </c>
      <c r="G16" s="85">
        <f t="shared" si="2"/>
        <v>34300</v>
      </c>
      <c r="H16" s="20">
        <f t="shared" si="1"/>
        <v>100</v>
      </c>
    </row>
    <row r="17" spans="1:10" s="5" customFormat="1" ht="17.100000000000001" customHeight="1" x14ac:dyDescent="0.2">
      <c r="A17" s="148">
        <v>12</v>
      </c>
      <c r="B17" s="71" t="s">
        <v>51</v>
      </c>
      <c r="C17" s="115">
        <v>10529</v>
      </c>
      <c r="D17" s="186">
        <v>11062</v>
      </c>
      <c r="E17" s="85">
        <f>D17</f>
        <v>11062</v>
      </c>
      <c r="F17" s="20">
        <f t="shared" si="0"/>
        <v>100</v>
      </c>
      <c r="G17" s="85">
        <f t="shared" si="2"/>
        <v>11062</v>
      </c>
      <c r="H17" s="20">
        <f t="shared" si="1"/>
        <v>100</v>
      </c>
    </row>
    <row r="18" spans="1:10" s="49" customFormat="1" ht="17.100000000000001" customHeight="1" x14ac:dyDescent="0.2">
      <c r="A18" s="149">
        <v>13</v>
      </c>
      <c r="B18" s="72" t="s">
        <v>2</v>
      </c>
      <c r="C18" s="131">
        <v>10210</v>
      </c>
      <c r="D18" s="131">
        <f>5+1150+7200+5</f>
        <v>8360</v>
      </c>
      <c r="E18" s="84">
        <v>10000</v>
      </c>
      <c r="F18" s="50">
        <f t="shared" si="0"/>
        <v>119.61722488038278</v>
      </c>
      <c r="G18" s="84">
        <v>10000</v>
      </c>
      <c r="H18" s="50">
        <f t="shared" si="1"/>
        <v>100</v>
      </c>
    </row>
    <row r="19" spans="1:10" s="49" customFormat="1" ht="17.100000000000001" customHeight="1" x14ac:dyDescent="0.2">
      <c r="A19" s="149">
        <v>14</v>
      </c>
      <c r="B19" s="72" t="s">
        <v>3</v>
      </c>
      <c r="C19" s="117">
        <f>SUM(C20:C21)</f>
        <v>134643.5</v>
      </c>
      <c r="D19" s="117">
        <f>SUM(D20:D22)</f>
        <v>361106.4</v>
      </c>
      <c r="E19" s="84">
        <f>SUM(E20:E21)</f>
        <v>122749.4</v>
      </c>
      <c r="F19" s="51">
        <f t="shared" si="0"/>
        <v>33.992585010955217</v>
      </c>
      <c r="G19" s="84">
        <f>SUM(G20:G21)</f>
        <v>122749.4</v>
      </c>
      <c r="H19" s="79">
        <f t="shared" si="1"/>
        <v>100</v>
      </c>
    </row>
    <row r="20" spans="1:10" s="5" customFormat="1" ht="17.100000000000001" customHeight="1" x14ac:dyDescent="0.2">
      <c r="A20" s="148">
        <v>15</v>
      </c>
      <c r="B20" s="33" t="s">
        <v>11</v>
      </c>
      <c r="C20" s="118">
        <v>109631.5</v>
      </c>
      <c r="D20" s="118">
        <v>122749.4</v>
      </c>
      <c r="E20" s="21">
        <f>D20</f>
        <v>122749.4</v>
      </c>
      <c r="F20" s="20">
        <f t="shared" si="0"/>
        <v>100</v>
      </c>
      <c r="G20" s="21">
        <f>E20</f>
        <v>122749.4</v>
      </c>
      <c r="H20" s="36">
        <f t="shared" si="1"/>
        <v>100</v>
      </c>
    </row>
    <row r="21" spans="1:10" s="5" customFormat="1" ht="17.100000000000001" customHeight="1" x14ac:dyDescent="0.2">
      <c r="A21" s="148">
        <v>16</v>
      </c>
      <c r="B21" s="33" t="s">
        <v>65</v>
      </c>
      <c r="C21" s="132">
        <v>25012</v>
      </c>
      <c r="D21" s="118">
        <v>26142</v>
      </c>
      <c r="E21" s="104"/>
      <c r="F21" s="101"/>
      <c r="G21" s="102"/>
      <c r="H21" s="103"/>
    </row>
    <row r="22" spans="1:10" s="5" customFormat="1" ht="17.100000000000001" customHeight="1" thickBot="1" x14ac:dyDescent="0.25">
      <c r="A22" s="173">
        <v>17</v>
      </c>
      <c r="B22" s="174" t="s">
        <v>71</v>
      </c>
      <c r="C22" s="175"/>
      <c r="D22" s="192">
        <v>212215</v>
      </c>
      <c r="E22" s="176"/>
      <c r="F22" s="177"/>
      <c r="G22" s="178"/>
      <c r="H22" s="177"/>
    </row>
    <row r="23" spans="1:10" s="32" customFormat="1" ht="27" customHeight="1" thickTop="1" thickBot="1" x14ac:dyDescent="0.3">
      <c r="A23" s="150">
        <v>18</v>
      </c>
      <c r="B23" s="73" t="s">
        <v>4</v>
      </c>
      <c r="C23" s="74">
        <f>SUM(C18:C19,C9,C6)</f>
        <v>6106203</v>
      </c>
      <c r="D23" s="74">
        <f>SUM(D18:D19,D9,D6)</f>
        <v>5867450</v>
      </c>
      <c r="E23" s="31">
        <f>SUM(E18:E19,E9,E6)</f>
        <v>5698055</v>
      </c>
      <c r="F23" s="78">
        <f>E23/D23*100</f>
        <v>97.112970711297081</v>
      </c>
      <c r="G23" s="31">
        <f>SUM(G18:G19,G9,G6)</f>
        <v>6063146.7000000002</v>
      </c>
      <c r="H23" s="78">
        <f>G23/E23*100</f>
        <v>106.40730389580304</v>
      </c>
    </row>
    <row r="24" spans="1:10" s="6" customFormat="1" ht="14.25" hidden="1" thickTop="1" thickBot="1" x14ac:dyDescent="0.25">
      <c r="A24" s="193"/>
      <c r="B24" s="7"/>
      <c r="C24" s="105"/>
      <c r="D24" s="133"/>
      <c r="E24" s="139">
        <f>SUM(E90)</f>
        <v>300000</v>
      </c>
      <c r="F24" s="140">
        <f>SUM(F90)</f>
        <v>60</v>
      </c>
      <c r="G24" s="139">
        <f>SUM(G90)+G89</f>
        <v>300000</v>
      </c>
      <c r="H24" s="140">
        <f>SUM(H90)</f>
        <v>100</v>
      </c>
      <c r="I24" s="4"/>
      <c r="J24" s="4"/>
    </row>
    <row r="25" spans="1:10" s="6" customFormat="1" ht="14.25" hidden="1" thickTop="1" thickBot="1" x14ac:dyDescent="0.25">
      <c r="A25" s="193"/>
      <c r="B25" s="7"/>
      <c r="C25" s="105"/>
      <c r="D25" s="133"/>
      <c r="E25" s="139">
        <f t="shared" ref="E25:H25" si="3">SUM(E23:E24)</f>
        <v>5998055</v>
      </c>
      <c r="F25" s="140">
        <f t="shared" si="3"/>
        <v>157.11297071129707</v>
      </c>
      <c r="G25" s="139">
        <f t="shared" si="3"/>
        <v>6363146.7000000002</v>
      </c>
      <c r="H25" s="141">
        <f t="shared" si="3"/>
        <v>206.40730389580304</v>
      </c>
      <c r="I25" s="4"/>
      <c r="J25" s="4"/>
    </row>
    <row r="26" spans="1:10" s="14" customFormat="1" ht="14.25" hidden="1" thickTop="1" thickBot="1" x14ac:dyDescent="0.25">
      <c r="A26" s="193"/>
      <c r="B26" s="13"/>
      <c r="C26" s="105"/>
      <c r="D26" s="133"/>
      <c r="E26" s="139" t="e">
        <f>-SUM(#REF!)</f>
        <v>#REF!</v>
      </c>
      <c r="F26" s="140"/>
      <c r="G26" s="139" t="e">
        <f>-SUM(#REF!)</f>
        <v>#REF!</v>
      </c>
      <c r="H26" s="141" t="e">
        <f>-SUM(#REF!)</f>
        <v>#REF!</v>
      </c>
      <c r="I26" s="4"/>
      <c r="J26" s="4"/>
    </row>
    <row r="27" spans="1:10" s="14" customFormat="1" ht="14.25" hidden="1" thickTop="1" thickBot="1" x14ac:dyDescent="0.25">
      <c r="A27" s="193"/>
      <c r="B27" s="13"/>
      <c r="C27" s="105"/>
      <c r="D27" s="133"/>
      <c r="E27" s="139" t="e">
        <f t="shared" ref="E27:H27" si="4">SUM(E25:E26)</f>
        <v>#REF!</v>
      </c>
      <c r="F27" s="140">
        <f t="shared" si="4"/>
        <v>157.11297071129707</v>
      </c>
      <c r="G27" s="139" t="e">
        <f t="shared" si="4"/>
        <v>#REF!</v>
      </c>
      <c r="H27" s="141" t="e">
        <f t="shared" si="4"/>
        <v>#REF!</v>
      </c>
      <c r="I27" s="4"/>
      <c r="J27" s="4"/>
    </row>
    <row r="28" spans="1:10" s="14" customFormat="1" ht="14.25" hidden="1" thickTop="1" thickBot="1" x14ac:dyDescent="0.25">
      <c r="A28" s="193"/>
      <c r="B28" s="13"/>
      <c r="C28" s="105"/>
      <c r="D28" s="133"/>
      <c r="E28" s="139" t="e">
        <f>-SUM(#REF!)</f>
        <v>#REF!</v>
      </c>
      <c r="F28" s="141" t="e">
        <f>-SUM(#REF!)</f>
        <v>#REF!</v>
      </c>
      <c r="G28" s="139" t="e">
        <f>-SUM(#REF!)</f>
        <v>#REF!</v>
      </c>
      <c r="H28" s="141" t="e">
        <f>-SUM(#REF!)</f>
        <v>#REF!</v>
      </c>
      <c r="I28" s="4"/>
      <c r="J28" s="4"/>
    </row>
    <row r="29" spans="1:10" s="14" customFormat="1" ht="14.25" hidden="1" thickTop="1" thickBot="1" x14ac:dyDescent="0.25">
      <c r="A29" s="193"/>
      <c r="B29" s="13"/>
      <c r="C29" s="105"/>
      <c r="D29" s="133"/>
      <c r="E29" s="139" t="e">
        <f>-SUM(#REF!)</f>
        <v>#REF!</v>
      </c>
      <c r="F29" s="141" t="e">
        <f>-SUM(#REF!)</f>
        <v>#REF!</v>
      </c>
      <c r="G29" s="139" t="e">
        <f>-SUM(#REF!)-G89</f>
        <v>#REF!</v>
      </c>
      <c r="H29" s="141" t="e">
        <f>-SUM(#REF!)-H89</f>
        <v>#REF!</v>
      </c>
      <c r="I29" s="4"/>
      <c r="J29" s="4"/>
    </row>
    <row r="30" spans="1:10" s="6" customFormat="1" ht="14.25" hidden="1" thickTop="1" thickBot="1" x14ac:dyDescent="0.25">
      <c r="A30" s="193"/>
      <c r="B30" s="7"/>
      <c r="C30" s="105"/>
      <c r="D30" s="133"/>
      <c r="E30" s="139" t="e">
        <f t="shared" ref="E30:H30" si="5">SUM(E27:E29)</f>
        <v>#REF!</v>
      </c>
      <c r="F30" s="141" t="e">
        <f t="shared" si="5"/>
        <v>#REF!</v>
      </c>
      <c r="G30" s="139" t="e">
        <f t="shared" si="5"/>
        <v>#REF!</v>
      </c>
      <c r="H30" s="141" t="e">
        <f t="shared" si="5"/>
        <v>#REF!</v>
      </c>
      <c r="I30" s="4"/>
      <c r="J30" s="4"/>
    </row>
    <row r="31" spans="1:10" s="4" customFormat="1" ht="15.75" thickTop="1" thickBot="1" x14ac:dyDescent="0.25">
      <c r="A31" s="151">
        <v>19</v>
      </c>
      <c r="B31" s="75" t="s">
        <v>52</v>
      </c>
      <c r="C31" s="91">
        <v>-10527</v>
      </c>
      <c r="D31" s="91">
        <v>-11058</v>
      </c>
      <c r="E31" s="80">
        <v>-11058</v>
      </c>
      <c r="F31" s="82">
        <f>E31/D31*100</f>
        <v>100</v>
      </c>
      <c r="G31" s="80">
        <v>-11058</v>
      </c>
      <c r="H31" s="40">
        <f>G31/E31*100</f>
        <v>100</v>
      </c>
    </row>
    <row r="32" spans="1:10" s="4" customFormat="1" ht="24.75" customHeight="1" thickTop="1" thickBot="1" x14ac:dyDescent="0.3">
      <c r="A32" s="152">
        <v>20</v>
      </c>
      <c r="B32" s="76" t="s">
        <v>53</v>
      </c>
      <c r="C32" s="77">
        <f>C23+C31</f>
        <v>6095676</v>
      </c>
      <c r="D32" s="77">
        <f>D23+D31</f>
        <v>5856392</v>
      </c>
      <c r="E32" s="81">
        <f>E23+E31</f>
        <v>5686997</v>
      </c>
      <c r="F32" s="78">
        <f>E32/D32*100</f>
        <v>97.107519442004559</v>
      </c>
      <c r="G32" s="81">
        <f>G23+G31</f>
        <v>6052088.7000000002</v>
      </c>
      <c r="H32" s="78">
        <f>G32/E32*100</f>
        <v>106.41976248624714</v>
      </c>
    </row>
    <row r="33" spans="1:9" s="4" customFormat="1" ht="16.5" customHeight="1" thickTop="1" thickBot="1" x14ac:dyDescent="0.25">
      <c r="A33" s="135"/>
      <c r="B33" s="69"/>
      <c r="C33" s="106"/>
      <c r="D33" s="161"/>
      <c r="E33" s="106"/>
      <c r="F33" s="106"/>
      <c r="G33" s="106"/>
      <c r="H33" s="106"/>
    </row>
    <row r="34" spans="1:9" ht="17.25" customHeight="1" thickTop="1" thickBot="1" x14ac:dyDescent="0.3">
      <c r="A34" s="232" t="s">
        <v>32</v>
      </c>
      <c r="B34" s="235" t="s">
        <v>18</v>
      </c>
      <c r="C34" s="238" t="s">
        <v>68</v>
      </c>
      <c r="D34" s="238" t="s">
        <v>80</v>
      </c>
      <c r="E34" s="241" t="s">
        <v>59</v>
      </c>
      <c r="F34" s="242"/>
      <c r="G34" s="242"/>
      <c r="H34" s="243"/>
    </row>
    <row r="35" spans="1:9" s="3" customFormat="1" ht="18.75" customHeight="1" thickTop="1" x14ac:dyDescent="0.2">
      <c r="A35" s="233"/>
      <c r="B35" s="236"/>
      <c r="C35" s="239"/>
      <c r="D35" s="239"/>
      <c r="E35" s="217">
        <v>2022</v>
      </c>
      <c r="F35" s="215" t="s">
        <v>67</v>
      </c>
      <c r="G35" s="217">
        <v>2023</v>
      </c>
      <c r="H35" s="215" t="s">
        <v>69</v>
      </c>
    </row>
    <row r="36" spans="1:9" s="4" customFormat="1" ht="31.5" customHeight="1" x14ac:dyDescent="0.2">
      <c r="A36" s="233"/>
      <c r="B36" s="236"/>
      <c r="C36" s="239"/>
      <c r="D36" s="239"/>
      <c r="E36" s="217"/>
      <c r="F36" s="215"/>
      <c r="G36" s="217"/>
      <c r="H36" s="215"/>
    </row>
    <row r="37" spans="1:9" s="4" customFormat="1" ht="13.5" customHeight="1" thickBot="1" x14ac:dyDescent="0.25">
      <c r="A37" s="234"/>
      <c r="B37" s="237"/>
      <c r="C37" s="240"/>
      <c r="D37" s="240"/>
      <c r="E37" s="218"/>
      <c r="F37" s="216"/>
      <c r="G37" s="218"/>
      <c r="H37" s="216"/>
    </row>
    <row r="38" spans="1:9" s="53" customFormat="1" ht="32.25" customHeight="1" thickTop="1" x14ac:dyDescent="0.25">
      <c r="A38" s="147">
        <v>21</v>
      </c>
      <c r="B38" s="41" t="s">
        <v>38</v>
      </c>
      <c r="C38" s="42">
        <f>SUM(C39:C41)</f>
        <v>1591056</v>
      </c>
      <c r="D38" s="42">
        <f>SUM(D39:D41)</f>
        <v>1372468</v>
      </c>
      <c r="E38" s="42">
        <f>SUM(E39:E41)</f>
        <v>1360711</v>
      </c>
      <c r="F38" s="52">
        <f t="shared" ref="F38:F58" si="6">E38/D38*100</f>
        <v>99.143368005665707</v>
      </c>
      <c r="G38" s="42">
        <f>SUM(G39:G40,G41:G41)</f>
        <v>1358643</v>
      </c>
      <c r="H38" s="50">
        <f t="shared" ref="H38:H53" si="7">G38/E38*100</f>
        <v>99.848020630391019</v>
      </c>
    </row>
    <row r="39" spans="1:9" s="22" customFormat="1" ht="17.25" customHeight="1" x14ac:dyDescent="0.25">
      <c r="A39" s="153">
        <v>22</v>
      </c>
      <c r="B39" s="37" t="s">
        <v>39</v>
      </c>
      <c r="C39" s="119">
        <f>961641-90400</f>
        <v>871241</v>
      </c>
      <c r="D39" s="119">
        <f>932961-90400</f>
        <v>842561</v>
      </c>
      <c r="E39" s="39">
        <f>D39</f>
        <v>842561</v>
      </c>
      <c r="F39" s="40">
        <f t="shared" si="6"/>
        <v>100</v>
      </c>
      <c r="G39" s="39">
        <f>E39</f>
        <v>842561</v>
      </c>
      <c r="H39" s="40">
        <f>G39/E39*100</f>
        <v>100</v>
      </c>
    </row>
    <row r="40" spans="1:9" s="22" customFormat="1" ht="16.5" customHeight="1" x14ac:dyDescent="0.25">
      <c r="A40" s="153">
        <v>23</v>
      </c>
      <c r="B40" s="37" t="s">
        <v>40</v>
      </c>
      <c r="C40" s="119">
        <v>630915</v>
      </c>
      <c r="D40" s="119">
        <v>439507</v>
      </c>
      <c r="E40" s="39">
        <f>D40</f>
        <v>439507</v>
      </c>
      <c r="F40" s="40">
        <f t="shared" si="6"/>
        <v>100</v>
      </c>
      <c r="G40" s="39">
        <f>E40</f>
        <v>439507</v>
      </c>
      <c r="H40" s="40">
        <f>G40/E40*100</f>
        <v>100</v>
      </c>
    </row>
    <row r="41" spans="1:9" s="22" customFormat="1" ht="16.5" customHeight="1" x14ac:dyDescent="0.25">
      <c r="A41" s="153">
        <v>24</v>
      </c>
      <c r="B41" s="37" t="s">
        <v>61</v>
      </c>
      <c r="C41" s="86">
        <f>SUM(C42:C46)</f>
        <v>88900</v>
      </c>
      <c r="D41" s="86">
        <f>SUM(D42:D49)</f>
        <v>90400</v>
      </c>
      <c r="E41" s="86">
        <f>SUM(E42:E50)</f>
        <v>78643</v>
      </c>
      <c r="F41" s="40">
        <f t="shared" si="6"/>
        <v>86.994469026548671</v>
      </c>
      <c r="G41" s="86">
        <f>SUM(G42:G50)</f>
        <v>76575</v>
      </c>
      <c r="H41" s="40">
        <f>G41/E41*100</f>
        <v>97.370395330798672</v>
      </c>
      <c r="I41" s="162">
        <f>SUM(D39,D41)</f>
        <v>932961</v>
      </c>
    </row>
    <row r="42" spans="1:9" s="11" customFormat="1" ht="16.5" customHeight="1" x14ac:dyDescent="0.2">
      <c r="A42" s="153">
        <v>25</v>
      </c>
      <c r="B42" s="33" t="s">
        <v>41</v>
      </c>
      <c r="C42" s="92">
        <v>12000</v>
      </c>
      <c r="D42" s="92">
        <v>11000</v>
      </c>
      <c r="E42" s="83">
        <v>9667</v>
      </c>
      <c r="F42" s="45">
        <f t="shared" si="6"/>
        <v>87.88181818181819</v>
      </c>
      <c r="G42" s="83">
        <v>8540</v>
      </c>
      <c r="H42" s="45">
        <f>G42/E42*100</f>
        <v>88.341781317885591</v>
      </c>
    </row>
    <row r="43" spans="1:9" s="11" customFormat="1" ht="16.5" customHeight="1" x14ac:dyDescent="0.2">
      <c r="A43" s="153">
        <v>26</v>
      </c>
      <c r="B43" s="33" t="s">
        <v>35</v>
      </c>
      <c r="C43" s="92">
        <v>56000</v>
      </c>
      <c r="D43" s="92">
        <v>53000</v>
      </c>
      <c r="E43" s="83">
        <v>48776</v>
      </c>
      <c r="F43" s="45">
        <f t="shared" si="6"/>
        <v>92.030188679245285</v>
      </c>
      <c r="G43" s="83">
        <v>48085</v>
      </c>
      <c r="H43" s="45">
        <f t="shared" si="7"/>
        <v>98.583319665409221</v>
      </c>
    </row>
    <row r="44" spans="1:9" s="11" customFormat="1" ht="16.5" customHeight="1" x14ac:dyDescent="0.2">
      <c r="A44" s="153">
        <v>27</v>
      </c>
      <c r="B44" s="33" t="s">
        <v>34</v>
      </c>
      <c r="C44" s="92">
        <v>8500</v>
      </c>
      <c r="D44" s="92">
        <v>3400</v>
      </c>
      <c r="E44" s="83">
        <v>2000</v>
      </c>
      <c r="F44" s="45">
        <f>E44/D44*100</f>
        <v>58.82352941176471</v>
      </c>
      <c r="G44" s="83">
        <v>650</v>
      </c>
      <c r="H44" s="45">
        <f t="shared" si="7"/>
        <v>32.5</v>
      </c>
    </row>
    <row r="45" spans="1:9" s="11" customFormat="1" ht="16.5" customHeight="1" x14ac:dyDescent="0.2">
      <c r="A45" s="153">
        <v>28</v>
      </c>
      <c r="B45" s="33" t="s">
        <v>58</v>
      </c>
      <c r="C45" s="92">
        <v>10000</v>
      </c>
      <c r="D45" s="92">
        <v>1000</v>
      </c>
      <c r="E45" s="83"/>
      <c r="F45" s="170"/>
      <c r="G45" s="83"/>
      <c r="H45" s="45"/>
    </row>
    <row r="46" spans="1:9" s="11" customFormat="1" ht="16.5" customHeight="1" x14ac:dyDescent="0.2">
      <c r="A46" s="153">
        <v>29</v>
      </c>
      <c r="B46" s="33" t="s">
        <v>60</v>
      </c>
      <c r="C46" s="92">
        <v>2400</v>
      </c>
      <c r="D46" s="92">
        <v>2000</v>
      </c>
      <c r="E46" s="83">
        <v>1200</v>
      </c>
      <c r="F46" s="45">
        <f t="shared" si="6"/>
        <v>60</v>
      </c>
      <c r="G46" s="83">
        <v>800</v>
      </c>
      <c r="H46" s="45">
        <f>G46/E46*100</f>
        <v>66.666666666666657</v>
      </c>
    </row>
    <row r="47" spans="1:9" s="11" customFormat="1" ht="16.5" customHeight="1" x14ac:dyDescent="0.2">
      <c r="A47" s="153">
        <v>30</v>
      </c>
      <c r="B47" s="98" t="s">
        <v>74</v>
      </c>
      <c r="C47" s="92"/>
      <c r="D47" s="92">
        <v>3000</v>
      </c>
      <c r="E47" s="83">
        <v>2000</v>
      </c>
      <c r="F47" s="45">
        <f t="shared" si="6"/>
        <v>66.666666666666657</v>
      </c>
      <c r="G47" s="83"/>
      <c r="H47" s="45"/>
    </row>
    <row r="48" spans="1:9" s="11" customFormat="1" ht="16.5" customHeight="1" x14ac:dyDescent="0.2">
      <c r="A48" s="153">
        <v>31</v>
      </c>
      <c r="B48" s="98" t="s">
        <v>72</v>
      </c>
      <c r="C48" s="92"/>
      <c r="D48" s="92">
        <v>2000</v>
      </c>
      <c r="E48" s="83">
        <v>1000</v>
      </c>
      <c r="F48" s="45">
        <f>E48/D48*100</f>
        <v>50</v>
      </c>
      <c r="G48" s="83">
        <v>1000</v>
      </c>
      <c r="H48" s="45">
        <f t="shared" ref="H48:H50" si="8">G48/E48*100</f>
        <v>100</v>
      </c>
    </row>
    <row r="49" spans="1:13" s="11" customFormat="1" ht="16.5" customHeight="1" x14ac:dyDescent="0.2">
      <c r="A49" s="153">
        <v>32</v>
      </c>
      <c r="B49" s="98" t="s">
        <v>73</v>
      </c>
      <c r="C49" s="92"/>
      <c r="D49" s="92">
        <v>15000</v>
      </c>
      <c r="E49" s="83">
        <v>4000</v>
      </c>
      <c r="F49" s="45">
        <f>E49/D49*100</f>
        <v>26.666666666666668</v>
      </c>
      <c r="G49" s="83">
        <v>2000</v>
      </c>
      <c r="H49" s="45">
        <f t="shared" si="8"/>
        <v>50</v>
      </c>
    </row>
    <row r="50" spans="1:13" s="11" customFormat="1" ht="16.5" customHeight="1" x14ac:dyDescent="0.2">
      <c r="A50" s="153">
        <v>33</v>
      </c>
      <c r="B50" s="98" t="s">
        <v>77</v>
      </c>
      <c r="C50" s="92"/>
      <c r="D50" s="92"/>
      <c r="E50" s="83">
        <v>10000</v>
      </c>
      <c r="F50" s="45"/>
      <c r="G50" s="83">
        <v>15500</v>
      </c>
      <c r="H50" s="45">
        <f t="shared" si="8"/>
        <v>155</v>
      </c>
    </row>
    <row r="51" spans="1:13" s="49" customFormat="1" ht="15" customHeight="1" x14ac:dyDescent="0.2">
      <c r="A51" s="154">
        <v>34</v>
      </c>
      <c r="B51" s="54" t="s">
        <v>19</v>
      </c>
      <c r="C51" s="120">
        <f>SUM(C52:C56)</f>
        <v>3385644</v>
      </c>
      <c r="D51" s="120">
        <f>SUM(D52:D56)</f>
        <v>3455913</v>
      </c>
      <c r="E51" s="42">
        <f>SUM(E52:E56)</f>
        <v>3455913</v>
      </c>
      <c r="F51" s="50">
        <f t="shared" si="6"/>
        <v>100</v>
      </c>
      <c r="G51" s="42">
        <f>SUM(G52:G56)</f>
        <v>3455913</v>
      </c>
      <c r="H51" s="50">
        <f>G51/E51*100</f>
        <v>100</v>
      </c>
    </row>
    <row r="52" spans="1:13" s="22" customFormat="1" ht="16.5" customHeight="1" x14ac:dyDescent="0.25">
      <c r="A52" s="153">
        <v>35</v>
      </c>
      <c r="B52" s="37" t="s">
        <v>43</v>
      </c>
      <c r="C52" s="119">
        <v>632968</v>
      </c>
      <c r="D52" s="119">
        <v>599238</v>
      </c>
      <c r="E52" s="39">
        <f t="shared" ref="E52:E57" si="9">D52</f>
        <v>599238</v>
      </c>
      <c r="F52" s="40">
        <f t="shared" si="6"/>
        <v>100</v>
      </c>
      <c r="G52" s="39">
        <f>E52</f>
        <v>599238</v>
      </c>
      <c r="H52" s="40">
        <f>G52/E52*100</f>
        <v>100</v>
      </c>
    </row>
    <row r="53" spans="1:13" s="22" customFormat="1" ht="16.5" customHeight="1" x14ac:dyDescent="0.25">
      <c r="A53" s="153">
        <v>36</v>
      </c>
      <c r="B53" s="37" t="s">
        <v>44</v>
      </c>
      <c r="C53" s="119">
        <v>867784</v>
      </c>
      <c r="D53" s="119">
        <v>930978</v>
      </c>
      <c r="E53" s="39">
        <f t="shared" si="9"/>
        <v>930978</v>
      </c>
      <c r="F53" s="40">
        <f t="shared" si="6"/>
        <v>100</v>
      </c>
      <c r="G53" s="39">
        <f t="shared" ref="G53:G56" si="10">E53</f>
        <v>930978</v>
      </c>
      <c r="H53" s="40">
        <f t="shared" si="7"/>
        <v>100</v>
      </c>
    </row>
    <row r="54" spans="1:13" s="22" customFormat="1" ht="16.5" customHeight="1" x14ac:dyDescent="0.25">
      <c r="A54" s="153">
        <v>37</v>
      </c>
      <c r="B54" s="37" t="s">
        <v>45</v>
      </c>
      <c r="C54" s="119">
        <v>422311</v>
      </c>
      <c r="D54" s="119">
        <v>437981</v>
      </c>
      <c r="E54" s="39">
        <f t="shared" si="9"/>
        <v>437981</v>
      </c>
      <c r="F54" s="40">
        <f t="shared" si="6"/>
        <v>100</v>
      </c>
      <c r="G54" s="39">
        <f t="shared" si="10"/>
        <v>437981</v>
      </c>
      <c r="H54" s="40">
        <f t="shared" ref="H54:H58" si="11">G54/E54*100</f>
        <v>100</v>
      </c>
    </row>
    <row r="55" spans="1:13" s="22" customFormat="1" ht="16.5" customHeight="1" x14ac:dyDescent="0.25">
      <c r="A55" s="153">
        <v>38</v>
      </c>
      <c r="B55" s="37" t="s">
        <v>47</v>
      </c>
      <c r="C55" s="119">
        <f>2056+19760+565</f>
        <v>22381</v>
      </c>
      <c r="D55" s="119">
        <f>2817+1812+180+20+20000+595</f>
        <v>25424</v>
      </c>
      <c r="E55" s="39">
        <f t="shared" si="9"/>
        <v>25424</v>
      </c>
      <c r="F55" s="40">
        <f t="shared" si="6"/>
        <v>100</v>
      </c>
      <c r="G55" s="39">
        <f t="shared" si="10"/>
        <v>25424</v>
      </c>
      <c r="H55" s="40">
        <f t="shared" si="11"/>
        <v>100</v>
      </c>
    </row>
    <row r="56" spans="1:13" s="22" customFormat="1" ht="16.5" customHeight="1" x14ac:dyDescent="0.25">
      <c r="A56" s="153">
        <v>39</v>
      </c>
      <c r="B56" s="37" t="s">
        <v>55</v>
      </c>
      <c r="C56" s="119">
        <v>1440200</v>
      </c>
      <c r="D56" s="119">
        <v>1462292</v>
      </c>
      <c r="E56" s="39">
        <f t="shared" si="9"/>
        <v>1462292</v>
      </c>
      <c r="F56" s="40">
        <f t="shared" si="6"/>
        <v>100</v>
      </c>
      <c r="G56" s="39">
        <f t="shared" si="10"/>
        <v>1462292</v>
      </c>
      <c r="H56" s="40">
        <f t="shared" si="11"/>
        <v>100</v>
      </c>
    </row>
    <row r="57" spans="1:13" s="53" customFormat="1" ht="16.5" customHeight="1" x14ac:dyDescent="0.25">
      <c r="A57" s="154">
        <v>40</v>
      </c>
      <c r="B57" s="41" t="s">
        <v>20</v>
      </c>
      <c r="C57" s="120">
        <v>10529</v>
      </c>
      <c r="D57" s="120">
        <v>11062</v>
      </c>
      <c r="E57" s="42">
        <f t="shared" si="9"/>
        <v>11062</v>
      </c>
      <c r="F57" s="43">
        <f t="shared" si="6"/>
        <v>100</v>
      </c>
      <c r="G57" s="42">
        <f>E57</f>
        <v>11062</v>
      </c>
      <c r="H57" s="43">
        <f t="shared" si="11"/>
        <v>100</v>
      </c>
    </row>
    <row r="58" spans="1:13" s="53" customFormat="1" ht="15" x14ac:dyDescent="0.25">
      <c r="A58" s="154">
        <v>41</v>
      </c>
      <c r="B58" s="41" t="s">
        <v>21</v>
      </c>
      <c r="C58" s="121">
        <v>34000</v>
      </c>
      <c r="D58" s="121">
        <v>34300</v>
      </c>
      <c r="E58" s="44">
        <f>D58</f>
        <v>34300</v>
      </c>
      <c r="F58" s="43">
        <f t="shared" si="6"/>
        <v>100</v>
      </c>
      <c r="G58" s="44">
        <f>E58</f>
        <v>34300</v>
      </c>
      <c r="H58" s="43">
        <f t="shared" si="11"/>
        <v>100</v>
      </c>
    </row>
    <row r="59" spans="1:13" s="49" customFormat="1" ht="18.75" customHeight="1" x14ac:dyDescent="0.2">
      <c r="A59" s="154">
        <v>42</v>
      </c>
      <c r="B59" s="41" t="s">
        <v>46</v>
      </c>
      <c r="C59" s="120">
        <f>SUM(C60:C72)</f>
        <v>1177726</v>
      </c>
      <c r="D59" s="120">
        <f>SUM(D60:D72)</f>
        <v>1093366</v>
      </c>
      <c r="E59" s="42">
        <f>SUM(E60:E63)</f>
        <v>614728</v>
      </c>
      <c r="F59" s="157">
        <f>E59/D59*100</f>
        <v>56.223442104473712</v>
      </c>
      <c r="G59" s="42">
        <f>SUM(G60:G63)</f>
        <v>1231888</v>
      </c>
      <c r="H59" s="158">
        <f>G59/E59*100</f>
        <v>200.39562212881145</v>
      </c>
      <c r="M59" s="93"/>
    </row>
    <row r="60" spans="1:13" s="23" customFormat="1" ht="14.25" customHeight="1" x14ac:dyDescent="0.2">
      <c r="A60" s="153">
        <v>43</v>
      </c>
      <c r="B60" s="46" t="s">
        <v>48</v>
      </c>
      <c r="C60" s="122">
        <v>778157</v>
      </c>
      <c r="D60" s="122">
        <v>331083</v>
      </c>
      <c r="E60" s="219">
        <v>614728</v>
      </c>
      <c r="F60" s="222">
        <f>E60/D59*100</f>
        <v>56.223442104473712</v>
      </c>
      <c r="G60" s="219">
        <v>1231888</v>
      </c>
      <c r="H60" s="225">
        <f>G60/E60*100</f>
        <v>200.39562212881145</v>
      </c>
    </row>
    <row r="61" spans="1:13" s="23" customFormat="1" ht="14.25" hidden="1" customHeight="1" x14ac:dyDescent="0.2">
      <c r="A61" s="153">
        <v>39</v>
      </c>
      <c r="B61" s="46" t="s">
        <v>49</v>
      </c>
      <c r="C61" s="123"/>
      <c r="D61" s="123"/>
      <c r="E61" s="220"/>
      <c r="F61" s="223"/>
      <c r="G61" s="220"/>
      <c r="H61" s="226"/>
    </row>
    <row r="62" spans="1:13" s="23" customFormat="1" ht="14.25" customHeight="1" x14ac:dyDescent="0.2">
      <c r="A62" s="153">
        <v>44</v>
      </c>
      <c r="B62" s="46" t="s">
        <v>56</v>
      </c>
      <c r="C62" s="124">
        <v>399569</v>
      </c>
      <c r="D62" s="124">
        <f>374647+348282</f>
        <v>722929</v>
      </c>
      <c r="E62" s="220"/>
      <c r="F62" s="223"/>
      <c r="G62" s="220"/>
      <c r="H62" s="226"/>
    </row>
    <row r="63" spans="1:13" s="23" customFormat="1" ht="14.25" customHeight="1" x14ac:dyDescent="0.2">
      <c r="A63" s="153">
        <v>45</v>
      </c>
      <c r="B63" s="46" t="s">
        <v>62</v>
      </c>
      <c r="C63" s="123">
        <v>0</v>
      </c>
      <c r="D63" s="123">
        <f>2650+1017</f>
        <v>3667</v>
      </c>
      <c r="E63" s="220"/>
      <c r="F63" s="223"/>
      <c r="G63" s="220"/>
      <c r="H63" s="226"/>
    </row>
    <row r="64" spans="1:13" s="8" customFormat="1" ht="14.25" hidden="1" customHeight="1" x14ac:dyDescent="0.2">
      <c r="A64" s="153">
        <v>40.8333333333333</v>
      </c>
      <c r="B64" s="33" t="s">
        <v>22</v>
      </c>
      <c r="C64" s="125"/>
      <c r="D64" s="125"/>
      <c r="E64" s="220"/>
      <c r="F64" s="223"/>
      <c r="G64" s="220"/>
      <c r="H64" s="226"/>
    </row>
    <row r="65" spans="1:10" s="8" customFormat="1" ht="14.25" hidden="1" customHeight="1" x14ac:dyDescent="0.2">
      <c r="A65" s="153">
        <v>41.3333333333333</v>
      </c>
      <c r="B65" s="33" t="s">
        <v>23</v>
      </c>
      <c r="C65" s="125"/>
      <c r="D65" s="125"/>
      <c r="E65" s="220"/>
      <c r="F65" s="223"/>
      <c r="G65" s="220"/>
      <c r="H65" s="226"/>
    </row>
    <row r="66" spans="1:10" s="8" customFormat="1" ht="14.25" hidden="1" customHeight="1" x14ac:dyDescent="0.2">
      <c r="A66" s="153">
        <v>41.8333333333333</v>
      </c>
      <c r="B66" s="33" t="s">
        <v>24</v>
      </c>
      <c r="C66" s="125"/>
      <c r="D66" s="125"/>
      <c r="E66" s="220"/>
      <c r="F66" s="223"/>
      <c r="G66" s="220"/>
      <c r="H66" s="226"/>
    </row>
    <row r="67" spans="1:10" s="8" customFormat="1" ht="14.25" hidden="1" customHeight="1" x14ac:dyDescent="0.2">
      <c r="A67" s="153">
        <v>42.3333333333333</v>
      </c>
      <c r="B67" s="33" t="s">
        <v>25</v>
      </c>
      <c r="C67" s="125"/>
      <c r="D67" s="125"/>
      <c r="E67" s="220"/>
      <c r="F67" s="223"/>
      <c r="G67" s="220"/>
      <c r="H67" s="226"/>
    </row>
    <row r="68" spans="1:10" s="8" customFormat="1" ht="14.25" hidden="1" customHeight="1" x14ac:dyDescent="0.2">
      <c r="A68" s="153">
        <v>42.8333333333333</v>
      </c>
      <c r="B68" s="33" t="s">
        <v>33</v>
      </c>
      <c r="C68" s="125"/>
      <c r="D68" s="125"/>
      <c r="E68" s="220"/>
      <c r="F68" s="223"/>
      <c r="G68" s="220"/>
      <c r="H68" s="226"/>
    </row>
    <row r="69" spans="1:10" s="8" customFormat="1" ht="14.25" hidden="1" customHeight="1" x14ac:dyDescent="0.2">
      <c r="A69" s="153">
        <v>43.3333333333333</v>
      </c>
      <c r="B69" s="33" t="s">
        <v>26</v>
      </c>
      <c r="C69" s="125"/>
      <c r="D69" s="125"/>
      <c r="E69" s="220"/>
      <c r="F69" s="223"/>
      <c r="G69" s="220"/>
      <c r="H69" s="226"/>
    </row>
    <row r="70" spans="1:10" s="8" customFormat="1" ht="14.25" hidden="1" customHeight="1" x14ac:dyDescent="0.2">
      <c r="A70" s="153">
        <v>43.8333333333333</v>
      </c>
      <c r="B70" s="33" t="s">
        <v>30</v>
      </c>
      <c r="C70" s="125"/>
      <c r="D70" s="125"/>
      <c r="E70" s="220"/>
      <c r="F70" s="223"/>
      <c r="G70" s="220"/>
      <c r="H70" s="226"/>
    </row>
    <row r="71" spans="1:10" s="8" customFormat="1" ht="14.25" hidden="1" customHeight="1" x14ac:dyDescent="0.2">
      <c r="A71" s="153">
        <v>44.3333333333333</v>
      </c>
      <c r="B71" s="33" t="s">
        <v>27</v>
      </c>
      <c r="C71" s="125"/>
      <c r="D71" s="125"/>
      <c r="E71" s="220"/>
      <c r="F71" s="223"/>
      <c r="G71" s="220"/>
      <c r="H71" s="226"/>
    </row>
    <row r="72" spans="1:10" s="23" customFormat="1" ht="14.25" customHeight="1" thickBot="1" x14ac:dyDescent="0.25">
      <c r="A72" s="153">
        <v>46</v>
      </c>
      <c r="B72" s="46" t="s">
        <v>66</v>
      </c>
      <c r="C72" s="126">
        <v>0</v>
      </c>
      <c r="D72" s="126">
        <v>35687</v>
      </c>
      <c r="E72" s="221"/>
      <c r="F72" s="224"/>
      <c r="G72" s="221"/>
      <c r="H72" s="227"/>
    </row>
    <row r="73" spans="1:10" s="24" customFormat="1" ht="26.25" customHeight="1" thickTop="1" thickBot="1" x14ac:dyDescent="0.25">
      <c r="A73" s="155">
        <v>47</v>
      </c>
      <c r="B73" s="25" t="s">
        <v>5</v>
      </c>
      <c r="C73" s="26">
        <f>SUM(C38,C51,C57:C59)</f>
        <v>6198955</v>
      </c>
      <c r="D73" s="26">
        <f>SUM(D38,D51,D57:D59)</f>
        <v>5967109</v>
      </c>
      <c r="E73" s="26">
        <f>SUM(E38,E51,E57:E59)</f>
        <v>5476714</v>
      </c>
      <c r="F73" s="30">
        <f>E73/D73*100</f>
        <v>91.78169864167053</v>
      </c>
      <c r="G73" s="26">
        <f>SUM(G38,G51,G57:G59)</f>
        <v>6091806</v>
      </c>
      <c r="H73" s="30">
        <f>G73/E73*100</f>
        <v>111.23104109508</v>
      </c>
    </row>
    <row r="74" spans="1:10" s="10" customFormat="1" ht="13.5" hidden="1" customHeight="1" thickTop="1" x14ac:dyDescent="0.2">
      <c r="A74" s="195"/>
      <c r="B74" s="9"/>
      <c r="C74" s="127"/>
      <c r="D74" s="127"/>
      <c r="E74" s="127">
        <f t="shared" ref="E74:H74" si="12">-SUM(E93)</f>
        <v>521341</v>
      </c>
      <c r="F74" s="144">
        <f t="shared" si="12"/>
        <v>-100</v>
      </c>
      <c r="G74" s="127">
        <f t="shared" si="12"/>
        <v>271341</v>
      </c>
      <c r="H74" s="196">
        <f t="shared" si="12"/>
        <v>-52.046741000611888</v>
      </c>
      <c r="I74" s="134"/>
      <c r="J74" s="134"/>
    </row>
    <row r="75" spans="1:10" s="16" customFormat="1" ht="13.5" hidden="1" customHeight="1" x14ac:dyDescent="0.2">
      <c r="A75" s="195"/>
      <c r="B75" s="15"/>
      <c r="C75" s="127"/>
      <c r="D75" s="127"/>
      <c r="E75" s="127">
        <f t="shared" ref="E75:H75" si="13">SUM(E73:E74)</f>
        <v>5998055</v>
      </c>
      <c r="F75" s="144">
        <f t="shared" si="13"/>
        <v>-8.2183013583294695</v>
      </c>
      <c r="G75" s="127">
        <f t="shared" si="13"/>
        <v>6363147</v>
      </c>
      <c r="H75" s="196">
        <f t="shared" si="13"/>
        <v>59.184300094468114</v>
      </c>
      <c r="I75" s="134"/>
      <c r="J75" s="134"/>
    </row>
    <row r="76" spans="1:10" s="16" customFormat="1" ht="13.5" hidden="1" customHeight="1" x14ac:dyDescent="0.2">
      <c r="A76" s="195"/>
      <c r="B76" s="15"/>
      <c r="C76" s="127"/>
      <c r="D76" s="127"/>
      <c r="E76" s="127" t="e">
        <f>-SUM(#REF!)</f>
        <v>#REF!</v>
      </c>
      <c r="F76" s="144" t="e">
        <f>-SUM(#REF!)</f>
        <v>#REF!</v>
      </c>
      <c r="G76" s="127" t="e">
        <f>-SUM(#REF!)</f>
        <v>#REF!</v>
      </c>
      <c r="H76" s="197" t="e">
        <f>-SUM(#REF!)</f>
        <v>#REF!</v>
      </c>
      <c r="I76" s="134"/>
      <c r="J76" s="134"/>
    </row>
    <row r="77" spans="1:10" s="13" customFormat="1" ht="13.5" hidden="1" customHeight="1" x14ac:dyDescent="0.2">
      <c r="A77" s="195"/>
      <c r="B77" s="15"/>
      <c r="C77" s="127"/>
      <c r="D77" s="127"/>
      <c r="E77" s="127" t="e">
        <f t="shared" ref="E77:H77" si="14">SUM(E75:E76)</f>
        <v>#REF!</v>
      </c>
      <c r="F77" s="144" t="e">
        <f t="shared" si="14"/>
        <v>#REF!</v>
      </c>
      <c r="G77" s="127" t="e">
        <f t="shared" si="14"/>
        <v>#REF!</v>
      </c>
      <c r="H77" s="197" t="e">
        <f t="shared" si="14"/>
        <v>#REF!</v>
      </c>
      <c r="I77" s="69"/>
      <c r="J77" s="69"/>
    </row>
    <row r="78" spans="1:10" s="13" customFormat="1" ht="13.5" hidden="1" customHeight="1" x14ac:dyDescent="0.2">
      <c r="A78" s="195"/>
      <c r="B78" s="15"/>
      <c r="C78" s="127"/>
      <c r="D78" s="127"/>
      <c r="E78" s="127" t="e">
        <f>-SUM(#REF!)</f>
        <v>#REF!</v>
      </c>
      <c r="F78" s="127" t="e">
        <f>-SUM(#REF!)</f>
        <v>#REF!</v>
      </c>
      <c r="G78" s="127" t="e">
        <f>-SUM(#REF!)</f>
        <v>#REF!</v>
      </c>
      <c r="H78" s="197" t="e">
        <f>-SUM(#REF!)</f>
        <v>#REF!</v>
      </c>
      <c r="I78" s="69"/>
      <c r="J78" s="69"/>
    </row>
    <row r="79" spans="1:10" s="13" customFormat="1" ht="13.5" hidden="1" customHeight="1" x14ac:dyDescent="0.2">
      <c r="A79" s="195"/>
      <c r="B79" s="15"/>
      <c r="C79" s="127"/>
      <c r="D79" s="127"/>
      <c r="E79" s="127" t="e">
        <f>-SUM(#REF!)-#REF!</f>
        <v>#REF!</v>
      </c>
      <c r="F79" s="127" t="e">
        <f>-SUM(#REF!)-#REF!</f>
        <v>#REF!</v>
      </c>
      <c r="G79" s="127" t="e">
        <f>-SUM(#REF!)-#REF!</f>
        <v>#REF!</v>
      </c>
      <c r="H79" s="197" t="e">
        <f>-SUM(#REF!)-#REF!</f>
        <v>#REF!</v>
      </c>
      <c r="I79" s="69"/>
      <c r="J79" s="69"/>
    </row>
    <row r="80" spans="1:10" s="18" customFormat="1" ht="13.5" hidden="1" customHeight="1" x14ac:dyDescent="0.2">
      <c r="A80" s="195"/>
      <c r="B80" s="17"/>
      <c r="C80" s="127"/>
      <c r="D80" s="127"/>
      <c r="E80" s="127" t="e">
        <f>SUM(E77:E79)</f>
        <v>#REF!</v>
      </c>
      <c r="F80" s="144" t="e">
        <f>SUM(F77:F78)</f>
        <v>#REF!</v>
      </c>
      <c r="G80" s="127" t="e">
        <f>SUM(G77:G79)-G95</f>
        <v>#REF!</v>
      </c>
      <c r="H80" s="197" t="e">
        <f>SUM(H77:H79)-H95</f>
        <v>#REF!</v>
      </c>
      <c r="I80" s="69"/>
      <c r="J80" s="69"/>
    </row>
    <row r="81" spans="1:10" s="4" customFormat="1" ht="15.75" thickTop="1" thickBot="1" x14ac:dyDescent="0.25">
      <c r="A81" s="190">
        <v>48</v>
      </c>
      <c r="B81" s="75" t="s">
        <v>52</v>
      </c>
      <c r="C81" s="91">
        <v>-10527</v>
      </c>
      <c r="D81" s="91">
        <v>-11058</v>
      </c>
      <c r="E81" s="80">
        <v>-11058</v>
      </c>
      <c r="F81" s="82">
        <f>E81/D81*100</f>
        <v>100</v>
      </c>
      <c r="G81" s="80">
        <f>SUM(E81)</f>
        <v>-11058</v>
      </c>
      <c r="H81" s="40">
        <f>G81/E81*100</f>
        <v>100</v>
      </c>
      <c r="J81" s="94"/>
    </row>
    <row r="82" spans="1:10" s="4" customFormat="1" ht="24.75" customHeight="1" thickTop="1" thickBot="1" x14ac:dyDescent="0.3">
      <c r="A82" s="156">
        <v>49</v>
      </c>
      <c r="B82" s="76" t="s">
        <v>54</v>
      </c>
      <c r="C82" s="77">
        <f>C73+C81</f>
        <v>6188428</v>
      </c>
      <c r="D82" s="77">
        <f>D73+D81</f>
        <v>5956051</v>
      </c>
      <c r="E82" s="81">
        <f>E73+E81</f>
        <v>5465656</v>
      </c>
      <c r="F82" s="78">
        <f>E82/D82*100</f>
        <v>91.766440549283416</v>
      </c>
      <c r="G82" s="81">
        <f>G73+G81</f>
        <v>6080748</v>
      </c>
      <c r="H82" s="78">
        <f>G82/E82*100</f>
        <v>111.25376350066671</v>
      </c>
    </row>
    <row r="83" spans="1:10" s="18" customFormat="1" ht="13.5" customHeight="1" thickTop="1" x14ac:dyDescent="0.2">
      <c r="A83" s="136"/>
      <c r="B83" s="17"/>
      <c r="C83" s="107"/>
      <c r="D83" s="107"/>
      <c r="E83" s="107"/>
      <c r="F83" s="108"/>
      <c r="G83" s="107"/>
      <c r="H83" s="107"/>
    </row>
    <row r="84" spans="1:10" s="7" customFormat="1" ht="13.5" customHeight="1" thickBot="1" x14ac:dyDescent="0.25">
      <c r="A84" s="136"/>
      <c r="B84" s="9"/>
      <c r="C84" s="107"/>
      <c r="D84" s="107"/>
      <c r="E84" s="107"/>
      <c r="F84" s="109"/>
      <c r="G84" s="107"/>
      <c r="H84" s="109"/>
    </row>
    <row r="85" spans="1:10" s="23" customFormat="1" ht="17.100000000000001" customHeight="1" thickTop="1" thickBot="1" x14ac:dyDescent="0.25">
      <c r="A85" s="198">
        <v>50</v>
      </c>
      <c r="B85" s="199" t="s">
        <v>7</v>
      </c>
      <c r="C85" s="200">
        <f>SUM(C32)</f>
        <v>6095676</v>
      </c>
      <c r="D85" s="200">
        <f>SUM(D32)</f>
        <v>5856392</v>
      </c>
      <c r="E85" s="200">
        <f>SUM(E32)</f>
        <v>5686997</v>
      </c>
      <c r="F85" s="201">
        <f>E85/D85*100</f>
        <v>97.107519442004559</v>
      </c>
      <c r="G85" s="200">
        <f>SUM(G32)</f>
        <v>6052088.7000000002</v>
      </c>
      <c r="H85" s="201">
        <f>G85/E85*100</f>
        <v>106.41976248624714</v>
      </c>
    </row>
    <row r="86" spans="1:10" s="23" customFormat="1" ht="17.100000000000001" hidden="1" customHeight="1" thickTop="1" thickBot="1" x14ac:dyDescent="0.25">
      <c r="A86" s="198">
        <v>24</v>
      </c>
      <c r="B86" s="34" t="s">
        <v>6</v>
      </c>
      <c r="C86" s="128"/>
      <c r="D86" s="160"/>
      <c r="E86" s="28">
        <f>E23-E73</f>
        <v>221341</v>
      </c>
      <c r="F86" s="29" t="e">
        <f>E86/#REF!*100</f>
        <v>#REF!</v>
      </c>
      <c r="G86" s="28">
        <f>G23-G73</f>
        <v>-28659.299999999814</v>
      </c>
      <c r="H86" s="29">
        <f t="shared" ref="H86" si="15">G86/E86*100</f>
        <v>-12.948030414609049</v>
      </c>
    </row>
    <row r="87" spans="1:10" s="23" customFormat="1" ht="17.100000000000001" customHeight="1" thickTop="1" thickBot="1" x14ac:dyDescent="0.25">
      <c r="A87" s="202">
        <v>51</v>
      </c>
      <c r="B87" s="163" t="s">
        <v>5</v>
      </c>
      <c r="C87" s="164">
        <f>C82</f>
        <v>6188428</v>
      </c>
      <c r="D87" s="164">
        <f>D82</f>
        <v>5956051</v>
      </c>
      <c r="E87" s="164">
        <f>E82</f>
        <v>5465656</v>
      </c>
      <c r="F87" s="165">
        <f>E87/D87*100</f>
        <v>91.766440549283416</v>
      </c>
      <c r="G87" s="164">
        <f>SUM(G82)</f>
        <v>6080748</v>
      </c>
      <c r="H87" s="165">
        <f>G87/E87*100</f>
        <v>111.25376350066671</v>
      </c>
      <c r="I87" s="68"/>
    </row>
    <row r="88" spans="1:10" s="23" customFormat="1" ht="16.5" customHeight="1" thickBot="1" x14ac:dyDescent="0.25">
      <c r="A88" s="203">
        <v>52</v>
      </c>
      <c r="B88" s="166" t="s">
        <v>8</v>
      </c>
      <c r="C88" s="167">
        <f>SUM(C89,C90,C93)</f>
        <v>169252</v>
      </c>
      <c r="D88" s="167">
        <f>D89+D90+D93</f>
        <v>99659</v>
      </c>
      <c r="E88" s="167">
        <f>E89+E90+E93</f>
        <v>-221341</v>
      </c>
      <c r="F88" s="168">
        <f>-E88/D88*100</f>
        <v>222.09835539188632</v>
      </c>
      <c r="G88" s="169">
        <f>SUM(G89,G90,G93)</f>
        <v>28659</v>
      </c>
      <c r="H88" s="204">
        <f>G88/E88*100</f>
        <v>-12.94789487713528</v>
      </c>
    </row>
    <row r="89" spans="1:10" s="53" customFormat="1" ht="38.25" customHeight="1" thickTop="1" x14ac:dyDescent="0.25">
      <c r="A89" s="147">
        <v>53</v>
      </c>
      <c r="B89" s="55" t="s">
        <v>29</v>
      </c>
      <c r="C89" s="129">
        <v>440593</v>
      </c>
      <c r="D89" s="129">
        <v>121000</v>
      </c>
      <c r="E89" s="56">
        <v>0</v>
      </c>
      <c r="F89" s="59"/>
      <c r="G89" s="56">
        <v>0</v>
      </c>
      <c r="H89" s="205"/>
    </row>
    <row r="90" spans="1:10" s="60" customFormat="1" ht="18" customHeight="1" x14ac:dyDescent="0.25">
      <c r="A90" s="206">
        <v>54</v>
      </c>
      <c r="B90" s="57" t="s">
        <v>28</v>
      </c>
      <c r="C90" s="130">
        <f>SUM(C91:C91)</f>
        <v>0</v>
      </c>
      <c r="D90" s="130">
        <f>SUM(D91:D92)</f>
        <v>500000</v>
      </c>
      <c r="E90" s="58">
        <f>SUM(E91:E91)</f>
        <v>300000</v>
      </c>
      <c r="F90" s="59">
        <f t="shared" ref="F90:F98" si="16">E90/D90*100</f>
        <v>60</v>
      </c>
      <c r="G90" s="58">
        <f>SUM(G91:G91)</f>
        <v>300000</v>
      </c>
      <c r="H90" s="59">
        <f t="shared" ref="H90:H97" si="17">G90/E90*100</f>
        <v>100</v>
      </c>
    </row>
    <row r="91" spans="1:10" s="12" customFormat="1" ht="18" customHeight="1" x14ac:dyDescent="0.2">
      <c r="A91" s="207">
        <v>55</v>
      </c>
      <c r="B91" s="35" t="s">
        <v>78</v>
      </c>
      <c r="C91" s="88"/>
      <c r="D91" s="88">
        <v>400000</v>
      </c>
      <c r="E91" s="89">
        <v>300000</v>
      </c>
      <c r="F91" s="191">
        <f t="shared" si="16"/>
        <v>75</v>
      </c>
      <c r="G91" s="89">
        <v>300000</v>
      </c>
      <c r="H91" s="191">
        <f t="shared" si="17"/>
        <v>100</v>
      </c>
    </row>
    <row r="92" spans="1:10" s="12" customFormat="1" ht="18" customHeight="1" x14ac:dyDescent="0.2">
      <c r="A92" s="207">
        <v>56</v>
      </c>
      <c r="B92" s="35" t="s">
        <v>79</v>
      </c>
      <c r="C92" s="88"/>
      <c r="D92" s="88">
        <v>100000</v>
      </c>
      <c r="E92" s="89"/>
      <c r="F92" s="191"/>
      <c r="G92" s="89"/>
      <c r="H92" s="191"/>
    </row>
    <row r="93" spans="1:10" s="60" customFormat="1" ht="18" customHeight="1" x14ac:dyDescent="0.25">
      <c r="A93" s="154">
        <v>57</v>
      </c>
      <c r="B93" s="61" t="s">
        <v>36</v>
      </c>
      <c r="C93" s="90">
        <f>SUM(C94:C97)</f>
        <v>-271341</v>
      </c>
      <c r="D93" s="90">
        <f>SUM(D94:D99)</f>
        <v>-521341</v>
      </c>
      <c r="E93" s="62">
        <f>SUM(E94:E98)</f>
        <v>-521341</v>
      </c>
      <c r="F93" s="59">
        <f t="shared" si="16"/>
        <v>100</v>
      </c>
      <c r="G93" s="62">
        <f>SUM(G94:G97)</f>
        <v>-271341</v>
      </c>
      <c r="H93" s="59">
        <f t="shared" si="17"/>
        <v>52.046741000611888</v>
      </c>
    </row>
    <row r="94" spans="1:10" ht="18" customHeight="1" x14ac:dyDescent="0.2">
      <c r="A94" s="208">
        <v>58</v>
      </c>
      <c r="B94" s="35" t="s">
        <v>57</v>
      </c>
      <c r="C94" s="88">
        <v>-43634</v>
      </c>
      <c r="D94" s="88">
        <v>-43634</v>
      </c>
      <c r="E94" s="89">
        <v>-43634</v>
      </c>
      <c r="F94" s="20">
        <f t="shared" si="16"/>
        <v>100</v>
      </c>
      <c r="G94" s="89">
        <v>-43634</v>
      </c>
      <c r="H94" s="20">
        <f t="shared" si="17"/>
        <v>100</v>
      </c>
    </row>
    <row r="95" spans="1:10" ht="18" customHeight="1" x14ac:dyDescent="0.2">
      <c r="A95" s="207">
        <v>59</v>
      </c>
      <c r="B95" s="38" t="s">
        <v>37</v>
      </c>
      <c r="C95" s="87">
        <v>-142858</v>
      </c>
      <c r="D95" s="87">
        <v>-142858</v>
      </c>
      <c r="E95" s="27">
        <v>-142858</v>
      </c>
      <c r="F95" s="20">
        <f t="shared" si="16"/>
        <v>100</v>
      </c>
      <c r="G95" s="27">
        <v>-142858</v>
      </c>
      <c r="H95" s="20">
        <f t="shared" si="17"/>
        <v>100</v>
      </c>
    </row>
    <row r="96" spans="1:10" ht="18" customHeight="1" x14ac:dyDescent="0.2">
      <c r="A96" s="208">
        <v>60</v>
      </c>
      <c r="B96" s="38" t="s">
        <v>42</v>
      </c>
      <c r="C96" s="87">
        <v>-66667</v>
      </c>
      <c r="D96" s="87">
        <v>-66667</v>
      </c>
      <c r="E96" s="27">
        <v>-66667</v>
      </c>
      <c r="F96" s="20">
        <f t="shared" si="16"/>
        <v>100</v>
      </c>
      <c r="G96" s="27">
        <v>-66667</v>
      </c>
      <c r="H96" s="20">
        <f t="shared" si="17"/>
        <v>100</v>
      </c>
    </row>
    <row r="97" spans="1:15" ht="17.25" customHeight="1" x14ac:dyDescent="0.2">
      <c r="A97" s="207">
        <v>61</v>
      </c>
      <c r="B97" s="38" t="s">
        <v>75</v>
      </c>
      <c r="C97" s="87">
        <v>-18182</v>
      </c>
      <c r="D97" s="87">
        <v>-18182</v>
      </c>
      <c r="E97" s="27">
        <v>-18182</v>
      </c>
      <c r="F97" s="20">
        <f>E97/D97*100</f>
        <v>100</v>
      </c>
      <c r="G97" s="27">
        <v>-18182</v>
      </c>
      <c r="H97" s="20">
        <f t="shared" si="17"/>
        <v>100</v>
      </c>
      <c r="I97" s="97"/>
    </row>
    <row r="98" spans="1:15" ht="17.25" customHeight="1" thickBot="1" x14ac:dyDescent="0.25">
      <c r="A98" s="209">
        <v>62</v>
      </c>
      <c r="B98" s="210" t="s">
        <v>76</v>
      </c>
      <c r="C98" s="211"/>
      <c r="D98" s="212">
        <v>-250000</v>
      </c>
      <c r="E98" s="213">
        <v>-250000</v>
      </c>
      <c r="F98" s="214">
        <f t="shared" si="16"/>
        <v>100</v>
      </c>
      <c r="G98" s="213"/>
      <c r="H98" s="214"/>
      <c r="I98" s="97"/>
    </row>
    <row r="99" spans="1:15" ht="15" hidden="1" thickBot="1" x14ac:dyDescent="0.25">
      <c r="A99" s="194">
        <v>63</v>
      </c>
      <c r="B99" s="99"/>
      <c r="C99" s="95"/>
      <c r="D99" s="95"/>
      <c r="E99" s="96"/>
      <c r="F99" s="188"/>
      <c r="G99" s="110"/>
      <c r="H99" s="189"/>
      <c r="I99" s="97"/>
    </row>
    <row r="100" spans="1:15" ht="17.25" customHeight="1" thickTop="1" x14ac:dyDescent="0.2">
      <c r="A100" s="179"/>
      <c r="B100" s="180"/>
      <c r="C100" s="181"/>
      <c r="D100" s="181"/>
      <c r="E100" s="182"/>
      <c r="F100" s="183"/>
      <c r="G100" s="184"/>
      <c r="H100" s="185"/>
    </row>
    <row r="101" spans="1:15" x14ac:dyDescent="0.2">
      <c r="A101" s="228"/>
      <c r="B101" s="228"/>
      <c r="C101" s="112" t="e">
        <f>C85+C89+C90+#REF!</f>
        <v>#REF!</v>
      </c>
      <c r="D101" s="112">
        <f>D85+D89+D90</f>
        <v>6477392</v>
      </c>
      <c r="E101" s="112">
        <f>E85+E89+E90</f>
        <v>5986997</v>
      </c>
      <c r="F101" s="112"/>
      <c r="G101" s="112">
        <f>G85+G89+G90</f>
        <v>6352088.7000000002</v>
      </c>
      <c r="H101" s="112"/>
      <c r="I101" s="142"/>
      <c r="J101" s="4"/>
      <c r="K101" s="4"/>
      <c r="L101" s="4"/>
      <c r="M101" s="4"/>
      <c r="N101" s="4"/>
      <c r="O101" s="4"/>
    </row>
    <row r="102" spans="1:15" x14ac:dyDescent="0.2">
      <c r="A102" s="137"/>
      <c r="B102" s="67"/>
      <c r="C102" s="112">
        <f>C87-C93</f>
        <v>6459769</v>
      </c>
      <c r="D102" s="112">
        <f>D87-D93</f>
        <v>6477392</v>
      </c>
      <c r="E102" s="112">
        <f>E87-E93</f>
        <v>5986997</v>
      </c>
      <c r="F102" s="112"/>
      <c r="G102" s="112">
        <f>G87-G93</f>
        <v>6352089</v>
      </c>
      <c r="H102" s="112"/>
      <c r="I102" s="142"/>
      <c r="J102" s="4"/>
      <c r="K102" s="4"/>
      <c r="L102" s="4"/>
      <c r="M102" s="4"/>
      <c r="N102" s="4"/>
      <c r="O102" s="4"/>
    </row>
    <row r="103" spans="1:15" x14ac:dyDescent="0.2">
      <c r="A103" s="138"/>
      <c r="B103" s="65"/>
      <c r="C103" s="111"/>
      <c r="D103" s="111"/>
      <c r="E103" s="111"/>
      <c r="F103" s="111"/>
      <c r="G103" s="112"/>
      <c r="H103" s="143"/>
      <c r="I103" s="142"/>
      <c r="J103" s="4"/>
      <c r="K103" s="4"/>
      <c r="L103" s="4"/>
      <c r="M103" s="4"/>
      <c r="N103" s="4"/>
      <c r="O103" s="4"/>
    </row>
    <row r="104" spans="1:15" x14ac:dyDescent="0.2">
      <c r="B104" s="66"/>
      <c r="C104" s="112" t="e">
        <f>C101-C102</f>
        <v>#REF!</v>
      </c>
      <c r="D104" s="112">
        <f>D101-D102</f>
        <v>0</v>
      </c>
      <c r="E104" s="112">
        <f>E101-E102</f>
        <v>0</v>
      </c>
      <c r="F104" s="112"/>
      <c r="G104" s="111">
        <f>G101-G102</f>
        <v>-0.29999999981373549</v>
      </c>
      <c r="H104" s="143"/>
      <c r="I104" s="142"/>
      <c r="J104" s="4"/>
      <c r="K104" s="4"/>
      <c r="L104" s="4"/>
      <c r="M104" s="4"/>
      <c r="N104" s="4"/>
      <c r="O104" s="4"/>
    </row>
    <row r="105" spans="1:15" x14ac:dyDescent="0.2">
      <c r="B105" s="66"/>
      <c r="C105" s="111">
        <f>C87-C85</f>
        <v>92752</v>
      </c>
      <c r="D105" s="111">
        <f>D87-D85</f>
        <v>99659</v>
      </c>
      <c r="E105" s="111">
        <f>E87-E85</f>
        <v>-221341</v>
      </c>
      <c r="F105" s="111"/>
      <c r="G105" s="111">
        <f>G87-G85</f>
        <v>28659.299999999814</v>
      </c>
      <c r="H105" s="111"/>
      <c r="I105" s="142"/>
      <c r="J105" s="4"/>
      <c r="K105" s="4"/>
      <c r="L105" s="4"/>
      <c r="M105" s="4"/>
      <c r="N105" s="4"/>
      <c r="O105" s="4"/>
    </row>
    <row r="106" spans="1:15" x14ac:dyDescent="0.2">
      <c r="B106" s="66"/>
      <c r="C106" s="112" t="e">
        <f>C89+C90+#REF!+C93</f>
        <v>#REF!</v>
      </c>
      <c r="D106" s="112">
        <f>D89+D90+D93</f>
        <v>99659</v>
      </c>
      <c r="E106" s="112">
        <f>E89+E90+E93</f>
        <v>-221341</v>
      </c>
      <c r="F106" s="112"/>
      <c r="G106" s="112">
        <f>G89+G90+G93</f>
        <v>28659</v>
      </c>
      <c r="H106" s="143"/>
      <c r="I106" s="135"/>
      <c r="J106" s="4"/>
      <c r="K106" s="4"/>
      <c r="L106" s="4"/>
      <c r="M106" s="4"/>
      <c r="N106" s="4"/>
      <c r="O106" s="4"/>
    </row>
    <row r="107" spans="1:15" x14ac:dyDescent="0.2">
      <c r="C107" s="112"/>
      <c r="D107" s="112"/>
      <c r="E107" s="112"/>
      <c r="F107" s="112"/>
      <c r="G107" s="112"/>
      <c r="H107" s="143"/>
      <c r="I107" s="4"/>
      <c r="J107" s="4"/>
      <c r="K107" s="4"/>
      <c r="L107" s="4"/>
      <c r="M107" s="4"/>
      <c r="N107" s="4"/>
      <c r="O107" s="4"/>
    </row>
    <row r="108" spans="1:15" x14ac:dyDescent="0.2">
      <c r="C108" s="135"/>
      <c r="D108" s="135"/>
      <c r="E108" s="135"/>
      <c r="F108" s="135"/>
      <c r="G108" s="135"/>
      <c r="H108" s="135"/>
      <c r="I108" s="4"/>
      <c r="J108" s="4"/>
      <c r="K108" s="4"/>
      <c r="L108" s="4"/>
      <c r="M108" s="4"/>
      <c r="N108" s="4"/>
      <c r="O108" s="4"/>
    </row>
    <row r="109" spans="1:15" x14ac:dyDescent="0.2">
      <c r="C109" s="135"/>
      <c r="D109" s="135"/>
      <c r="E109" s="135"/>
      <c r="F109" s="135"/>
      <c r="G109" s="135"/>
      <c r="H109" s="135"/>
      <c r="I109" s="4"/>
      <c r="J109" s="4"/>
      <c r="K109" s="4"/>
      <c r="L109" s="4"/>
      <c r="M109" s="4"/>
      <c r="N109" s="4"/>
      <c r="O109" s="4"/>
    </row>
    <row r="110" spans="1:15" x14ac:dyDescent="0.2">
      <c r="C110" s="112"/>
      <c r="D110" s="112"/>
      <c r="E110" s="112"/>
      <c r="F110" s="143"/>
      <c r="G110" s="112"/>
      <c r="H110" s="143"/>
      <c r="I110" s="4"/>
      <c r="J110" s="4"/>
      <c r="K110" s="4"/>
      <c r="L110" s="4"/>
      <c r="M110" s="4"/>
      <c r="N110" s="4"/>
      <c r="O110" s="4"/>
    </row>
    <row r="111" spans="1:15" x14ac:dyDescent="0.2">
      <c r="C111" s="112"/>
      <c r="D111" s="112"/>
      <c r="E111" s="112"/>
      <c r="F111" s="143"/>
      <c r="G111" s="112"/>
      <c r="H111" s="143"/>
      <c r="I111" s="4"/>
      <c r="J111" s="4"/>
      <c r="K111" s="4"/>
      <c r="L111" s="4"/>
      <c r="M111" s="4"/>
      <c r="N111" s="4"/>
      <c r="O111" s="4"/>
    </row>
  </sheetData>
  <mergeCells count="23">
    <mergeCell ref="H35:H37"/>
    <mergeCell ref="H60:H72"/>
    <mergeCell ref="A101:B101"/>
    <mergeCell ref="B2:B5"/>
    <mergeCell ref="A2:A5"/>
    <mergeCell ref="A34:A37"/>
    <mergeCell ref="B34:B37"/>
    <mergeCell ref="D2:D5"/>
    <mergeCell ref="D34:D37"/>
    <mergeCell ref="E2:H2"/>
    <mergeCell ref="E34:H34"/>
    <mergeCell ref="C2:C5"/>
    <mergeCell ref="C34:C37"/>
    <mergeCell ref="G3:G5"/>
    <mergeCell ref="H3:H5"/>
    <mergeCell ref="E3:E5"/>
    <mergeCell ref="F3:F5"/>
    <mergeCell ref="E35:E37"/>
    <mergeCell ref="F35:F37"/>
    <mergeCell ref="E60:E72"/>
    <mergeCell ref="G60:G72"/>
    <mergeCell ref="F60:F72"/>
    <mergeCell ref="G35:G37"/>
  </mergeCells>
  <phoneticPr fontId="0" type="noConversion"/>
  <pageMargins left="0.98425196850393704" right="0.98425196850393704" top="0.39370078740157483" bottom="0.39370078740157483" header="0.51181102362204722" footer="0.51181102362204722"/>
  <pageSetup paperSize="8" scale="82" firstPageNumber="6" orientation="portrait" useFirstPageNumber="1" r:id="rId1"/>
  <headerFooter alignWithMargins="0">
    <oddFooter>&amp;L&amp;"Arial,Kurzíva"Zastupitelstvo Olomouckého kraje 22. 2. 2021
11. - Střednědobý výhled rozpočtu Olomouckého kraje 2022 - 2023
Příloha č. 1: Střednědobý výhled rozpočtu OK na období 2022 - 2023&amp;R&amp;"Arial,Kurzíva"Strana &amp;P (celkem 10)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Balabuch Petr</cp:lastModifiedBy>
  <cp:lastPrinted>2021-01-25T14:28:37Z</cp:lastPrinted>
  <dcterms:created xsi:type="dcterms:W3CDTF">2007-01-30T08:08:06Z</dcterms:created>
  <dcterms:modified xsi:type="dcterms:W3CDTF">2021-02-01T14:16:16Z</dcterms:modified>
</cp:coreProperties>
</file>