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11640"/>
  </bookViews>
  <sheets>
    <sheet name="Příloha č. 1" sheetId="1" r:id="rId1"/>
  </sheets>
  <definedNames>
    <definedName name="_xlnm.Print_Area" localSheetId="0">'Příloha č. 1'!$A$1:$H$104</definedName>
  </definedNames>
  <calcPr calcId="145621"/>
</workbook>
</file>

<file path=xl/calcChain.xml><?xml version="1.0" encoding="utf-8"?>
<calcChain xmlns="http://schemas.openxmlformats.org/spreadsheetml/2006/main">
  <c r="H104" i="1" l="1"/>
  <c r="H90" i="1"/>
  <c r="H89" i="1"/>
  <c r="H88" i="1"/>
  <c r="H83" i="1"/>
  <c r="F83" i="1"/>
  <c r="H60" i="1"/>
  <c r="H55" i="1"/>
  <c r="H51" i="1"/>
  <c r="F53" i="1"/>
  <c r="F52" i="1"/>
  <c r="F51" i="1"/>
  <c r="H53" i="1"/>
  <c r="H52" i="1"/>
  <c r="H50" i="1"/>
  <c r="H49" i="1"/>
  <c r="H48" i="1"/>
  <c r="H47" i="1"/>
  <c r="F50" i="1"/>
  <c r="F49" i="1"/>
  <c r="F48" i="1"/>
  <c r="F47" i="1"/>
  <c r="F46" i="1"/>
  <c r="H46" i="1"/>
  <c r="H45" i="1"/>
  <c r="H44" i="1"/>
  <c r="H43" i="1"/>
  <c r="H42" i="1"/>
  <c r="H41" i="1"/>
  <c r="H40" i="1"/>
  <c r="H39" i="1"/>
  <c r="H38" i="1"/>
  <c r="H37" i="1"/>
  <c r="H36" i="1"/>
  <c r="F45" i="1"/>
  <c r="F44" i="1"/>
  <c r="F43" i="1"/>
  <c r="F42" i="1"/>
  <c r="F41" i="1"/>
  <c r="F40" i="1"/>
  <c r="F39" i="1"/>
  <c r="E35" i="1"/>
  <c r="F38" i="1"/>
  <c r="F37" i="1"/>
  <c r="F36" i="1"/>
  <c r="H20" i="1"/>
  <c r="F19" i="1"/>
  <c r="H18" i="1"/>
  <c r="H16" i="1"/>
  <c r="H11" i="1"/>
  <c r="H12" i="1"/>
  <c r="H13" i="1"/>
  <c r="H14" i="1"/>
  <c r="H15" i="1"/>
  <c r="F15" i="1"/>
  <c r="F11" i="1"/>
  <c r="G7" i="1"/>
  <c r="H7" i="1" s="1"/>
  <c r="H9" i="1"/>
  <c r="H8" i="1"/>
  <c r="F7" i="1"/>
  <c r="E7" i="1"/>
  <c r="F9" i="1"/>
  <c r="F8" i="1"/>
  <c r="G51" i="1"/>
  <c r="E51" i="1"/>
  <c r="F55" i="1" l="1"/>
  <c r="E15" i="1"/>
  <c r="G52" i="1" l="1"/>
  <c r="C106" i="1" l="1"/>
  <c r="C105" i="1"/>
  <c r="C83" i="1"/>
  <c r="C82" i="1"/>
  <c r="C80" i="1"/>
  <c r="G54" i="1"/>
  <c r="E54" i="1"/>
  <c r="G53" i="1"/>
  <c r="E52" i="1"/>
  <c r="H93" i="1"/>
  <c r="H96" i="1"/>
  <c r="H98" i="1"/>
  <c r="H99" i="1"/>
  <c r="H101" i="1"/>
  <c r="H102" i="1"/>
  <c r="G88" i="1"/>
  <c r="E88" i="1"/>
  <c r="G42" i="1"/>
  <c r="E42" i="1"/>
  <c r="F54" i="1" l="1"/>
  <c r="H54" i="1"/>
  <c r="E41" i="1"/>
  <c r="G41" i="1" s="1"/>
  <c r="E40" i="1"/>
  <c r="G40" i="1" s="1"/>
  <c r="E39" i="1"/>
  <c r="E38" i="1" s="1"/>
  <c r="E37" i="1"/>
  <c r="G37" i="1" s="1"/>
  <c r="E19" i="1"/>
  <c r="E16" i="1"/>
  <c r="G16" i="1" s="1"/>
  <c r="E14" i="1"/>
  <c r="G14" i="1" s="1"/>
  <c r="E9" i="1"/>
  <c r="E8" i="1"/>
  <c r="C88" i="1"/>
  <c r="C36" i="1"/>
  <c r="E36" i="1" s="1"/>
  <c r="G36" i="1" s="1"/>
  <c r="C56" i="1"/>
  <c r="C55" i="1"/>
  <c r="C47" i="1"/>
  <c r="E47" i="1" s="1"/>
  <c r="G47" i="1" s="1"/>
  <c r="C50" i="1"/>
  <c r="C49" i="1"/>
  <c r="C48" i="1"/>
  <c r="C42" i="1"/>
  <c r="C38" i="1"/>
  <c r="C13" i="1"/>
  <c r="E13" i="1" s="1"/>
  <c r="C17" i="1"/>
  <c r="H17" i="1" s="1"/>
  <c r="C15" i="1"/>
  <c r="C12" i="1"/>
  <c r="E12" i="1" s="1"/>
  <c r="C11" i="1"/>
  <c r="E11" i="1" s="1"/>
  <c r="C54" i="1" l="1"/>
  <c r="G39" i="1"/>
  <c r="G38" i="1" s="1"/>
  <c r="F87" i="1" l="1"/>
  <c r="F90" i="1" l="1"/>
  <c r="F89" i="1"/>
  <c r="F84" i="1"/>
  <c r="F13" i="1"/>
  <c r="F14" i="1"/>
  <c r="F60" i="1" l="1"/>
  <c r="G9" i="1" l="1"/>
  <c r="F88" i="1" l="1"/>
  <c r="F71" i="1" s="1"/>
  <c r="E50" i="1"/>
  <c r="E49" i="1"/>
  <c r="D42" i="1"/>
  <c r="D35" i="1" s="1"/>
  <c r="F12" i="1"/>
  <c r="E18" i="1"/>
  <c r="F16" i="1"/>
  <c r="C85" i="1"/>
  <c r="D61" i="1"/>
  <c r="D62" i="1"/>
  <c r="D63" i="1"/>
  <c r="D64" i="1"/>
  <c r="D66" i="1"/>
  <c r="D67" i="1"/>
  <c r="D68" i="1"/>
  <c r="D55" i="1"/>
  <c r="D54" i="1" s="1"/>
  <c r="D47" i="1"/>
  <c r="D46" i="1" s="1"/>
  <c r="C61" i="1"/>
  <c r="C62" i="1"/>
  <c r="C63" i="1"/>
  <c r="C64" i="1"/>
  <c r="C66" i="1"/>
  <c r="C67" i="1"/>
  <c r="C68" i="1"/>
  <c r="H69" i="1"/>
  <c r="F68" i="1"/>
  <c r="E85" i="1"/>
  <c r="G85" i="1"/>
  <c r="H85" i="1" s="1"/>
  <c r="C18" i="1"/>
  <c r="C10" i="1"/>
  <c r="C7" i="1"/>
  <c r="D89" i="1"/>
  <c r="D88" i="1"/>
  <c r="D83" i="1" s="1"/>
  <c r="D17" i="1"/>
  <c r="D18" i="1"/>
  <c r="D11" i="1"/>
  <c r="D10" i="1"/>
  <c r="D9" i="1"/>
  <c r="D7" i="1"/>
  <c r="D85" i="1"/>
  <c r="H67" i="1"/>
  <c r="F67" i="1"/>
  <c r="D95" i="1"/>
  <c r="D94" i="1"/>
  <c r="D71" i="1"/>
  <c r="D73" i="1"/>
  <c r="D76" i="1"/>
  <c r="D75" i="1"/>
  <c r="D22" i="1"/>
  <c r="D24" i="1"/>
  <c r="D27" i="1"/>
  <c r="D26" i="1"/>
  <c r="H22" i="1"/>
  <c r="H24" i="1"/>
  <c r="H26" i="1"/>
  <c r="H27" i="1"/>
  <c r="H73" i="1"/>
  <c r="H75" i="1"/>
  <c r="H76" i="1"/>
  <c r="G73" i="1"/>
  <c r="G76" i="1"/>
  <c r="G22" i="1"/>
  <c r="G24" i="1"/>
  <c r="G27" i="1"/>
  <c r="F76" i="1"/>
  <c r="G26" i="1"/>
  <c r="E73" i="1"/>
  <c r="E75" i="1"/>
  <c r="F75" i="1"/>
  <c r="G75" i="1"/>
  <c r="E76" i="1"/>
  <c r="F26" i="1"/>
  <c r="F27" i="1"/>
  <c r="E22" i="1"/>
  <c r="E24" i="1"/>
  <c r="E26" i="1"/>
  <c r="E27" i="1"/>
  <c r="C27" i="1"/>
  <c r="G97" i="1"/>
  <c r="H97" i="1" s="1"/>
  <c r="G103" i="1"/>
  <c r="H103" i="1" s="1"/>
  <c r="C95" i="1"/>
  <c r="G95" i="1"/>
  <c r="C94" i="1"/>
  <c r="H94" i="1" s="1"/>
  <c r="C76" i="1"/>
  <c r="C71" i="1"/>
  <c r="C72" i="1" s="1"/>
  <c r="C74" i="1" s="1"/>
  <c r="C77" i="1" s="1"/>
  <c r="C73" i="1"/>
  <c r="C75" i="1"/>
  <c r="C22" i="1"/>
  <c r="C23" i="1"/>
  <c r="C24" i="1"/>
  <c r="C25" i="1"/>
  <c r="C26" i="1"/>
  <c r="C28" i="1"/>
  <c r="C91" i="1"/>
  <c r="C92" i="1"/>
  <c r="F73" i="1"/>
  <c r="F18" i="1"/>
  <c r="F17" i="1"/>
  <c r="C21" i="1"/>
  <c r="G71" i="1"/>
  <c r="G83" i="1"/>
  <c r="H95" i="1" l="1"/>
  <c r="E71" i="1"/>
  <c r="D21" i="1"/>
  <c r="D80" i="1" s="1"/>
  <c r="D105" i="1" s="1"/>
  <c r="D23" i="1"/>
  <c r="D25" i="1" s="1"/>
  <c r="D28" i="1" s="1"/>
  <c r="D91" i="1"/>
  <c r="C35" i="1"/>
  <c r="G100" i="1"/>
  <c r="H100" i="1" s="1"/>
  <c r="F85" i="1"/>
  <c r="F22" i="1" s="1"/>
  <c r="E83" i="1"/>
  <c r="H71" i="1"/>
  <c r="G19" i="1"/>
  <c r="E10" i="1"/>
  <c r="F10" i="1" s="1"/>
  <c r="D70" i="1"/>
  <c r="C46" i="1"/>
  <c r="G49" i="1"/>
  <c r="G50" i="1"/>
  <c r="E48" i="1"/>
  <c r="D92" i="1" l="1"/>
  <c r="D72" i="1"/>
  <c r="D74" i="1" s="1"/>
  <c r="D77" i="1" s="1"/>
  <c r="D81" i="1"/>
  <c r="D82" i="1"/>
  <c r="C70" i="1"/>
  <c r="F35" i="1"/>
  <c r="E46" i="1"/>
  <c r="G35" i="1"/>
  <c r="H35" i="1" s="1"/>
  <c r="H19" i="1"/>
  <c r="G18" i="1"/>
  <c r="G10" i="1"/>
  <c r="H10" i="1" s="1"/>
  <c r="E21" i="1"/>
  <c r="G48" i="1"/>
  <c r="E80" i="1" l="1"/>
  <c r="F21" i="1"/>
  <c r="D109" i="1"/>
  <c r="D106" i="1"/>
  <c r="C81" i="1"/>
  <c r="E70" i="1"/>
  <c r="G46" i="1"/>
  <c r="G21" i="1"/>
  <c r="F23" i="1"/>
  <c r="F25" i="1" s="1"/>
  <c r="F28" i="1" s="1"/>
  <c r="E23" i="1"/>
  <c r="E25" i="1" s="1"/>
  <c r="E28" i="1" s="1"/>
  <c r="E91" i="1"/>
  <c r="F70" i="1" l="1"/>
  <c r="H70" i="1"/>
  <c r="E105" i="1"/>
  <c r="F80" i="1"/>
  <c r="H21" i="1"/>
  <c r="H23" i="1" s="1"/>
  <c r="H25" i="1" s="1"/>
  <c r="H28" i="1" s="1"/>
  <c r="E82" i="1"/>
  <c r="C109" i="1"/>
  <c r="G23" i="1"/>
  <c r="G25" i="1" s="1"/>
  <c r="G28" i="1" s="1"/>
  <c r="E72" i="1"/>
  <c r="E74" i="1" s="1"/>
  <c r="E77" i="1" s="1"/>
  <c r="E92" i="1"/>
  <c r="E81" i="1"/>
  <c r="F81" i="1" s="1"/>
  <c r="G80" i="1"/>
  <c r="G91" i="1"/>
  <c r="H91" i="1" s="1"/>
  <c r="G70" i="1"/>
  <c r="F72" i="1"/>
  <c r="F74" i="1" s="1"/>
  <c r="F77" i="1" s="1"/>
  <c r="E106" i="1" l="1"/>
  <c r="E111" i="1" s="1"/>
  <c r="F82" i="1"/>
  <c r="H82" i="1"/>
  <c r="G105" i="1"/>
  <c r="H80" i="1"/>
  <c r="E109" i="1"/>
  <c r="H72" i="1"/>
  <c r="H74" i="1" s="1"/>
  <c r="H77" i="1" s="1"/>
  <c r="G82" i="1"/>
  <c r="G72" i="1"/>
  <c r="G74" i="1" s="1"/>
  <c r="G77" i="1" s="1"/>
  <c r="G81" i="1"/>
  <c r="H81" i="1" s="1"/>
  <c r="G92" i="1"/>
  <c r="H92" i="1" s="1"/>
  <c r="G109" i="1" l="1"/>
  <c r="G106" i="1"/>
  <c r="G111" i="1" s="1"/>
</calcChain>
</file>

<file path=xl/comments1.xml><?xml version="1.0" encoding="utf-8"?>
<comments xmlns="http://schemas.openxmlformats.org/spreadsheetml/2006/main">
  <authors>
    <author>Vítková Petra</author>
    <author>Ing. Pavel Poles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 xml:space="preserve">z odpisů:94 051
z IF: 13 495
</t>
        </r>
      </text>
    </comment>
    <comment ref="E54" authorId="1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za OPŘ:
- roj.příprava+předfinancování z rozpočtu OK+ průtok financování soc. služeb
- zreálnění financování z EIB
p</t>
        </r>
      </text>
    </comment>
    <comment ref="G54" authorId="1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- proj.příprava+průtok financování soc. služeb projektu
- odhad financování připravovaných projektů z EIB</t>
        </r>
      </text>
    </comment>
  </commentList>
</comments>
</file>

<file path=xl/sharedStrings.xml><?xml version="1.0" encoding="utf-8"?>
<sst xmlns="http://schemas.openxmlformats.org/spreadsheetml/2006/main" count="79" uniqueCount="72">
  <si>
    <t>Rozpočtový výhled</t>
  </si>
  <si>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</si>
  <si>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</si>
  <si>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</si>
  <si>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</si>
  <si>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</si>
  <si>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</si>
  <si>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</si>
  <si>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</si>
  <si>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</si>
  <si>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</si>
  <si>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</si>
  <si>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</si>
  <si>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</si>
  <si>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</si>
  <si>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</si>
  <si>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</si>
  <si>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</si>
  <si>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</si>
  <si>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</si>
  <si>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</si>
  <si>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</si>
  <si>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</si>
  <si>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</si>
  <si>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</si>
  <si>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</si>
  <si>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</si>
  <si>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</si>
  <si>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</si>
  <si>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</si>
  <si>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</si>
  <si>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</si>
  <si>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>skutečnost k 30.6.2009</t>
  </si>
  <si>
    <t xml:space="preserve">         splátky půjček a ostatní nedaňové příjmy</t>
  </si>
  <si>
    <t>z toho: autobusová doprava</t>
  </si>
  <si>
    <t xml:space="preserve">           drážní doprava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</si>
  <si>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</si>
  <si>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</si>
  <si>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</si>
  <si>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rezerva,ostatní *</t>
  </si>
  <si>
    <t>v tis.Kč</t>
  </si>
  <si>
    <t xml:space="preserve">           EIB  - úroky</t>
  </si>
  <si>
    <t xml:space="preserve">Financování - splátky úvěru  (-) </t>
  </si>
  <si>
    <t xml:space="preserve">          EIB </t>
  </si>
  <si>
    <t xml:space="preserve">          EIB  - jistina</t>
  </si>
  <si>
    <t xml:space="preserve">Odbory (kanceláře) - provozní výdaje a dotační tituly </t>
  </si>
  <si>
    <t>z toho: Komerční banka - úvěrový rámec</t>
  </si>
  <si>
    <t>z toho: EIB (Modernizace silniční sítě) - iistina</t>
  </si>
  <si>
    <t>a) provozní výdaje odborů</t>
  </si>
  <si>
    <t>b) dotační tituly</t>
  </si>
  <si>
    <t>c) dopravní obslužnost</t>
  </si>
  <si>
    <t xml:space="preserve">d) nespecifikovaná rezerva </t>
  </si>
  <si>
    <t xml:space="preserve">e) úroky z úvěru 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</si>
  <si>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</si>
  <si>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</si>
  <si>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</si>
  <si>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</si>
  <si>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</si>
  <si>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 xml:space="preserve">d) příspěvek na provoz - nájemné </t>
  </si>
  <si>
    <t>Evropské programy</t>
  </si>
  <si>
    <t xml:space="preserve">a) oblast školství </t>
  </si>
  <si>
    <t xml:space="preserve">b) oblast sociálních věcí </t>
  </si>
  <si>
    <t>c) oblast dopravy</t>
  </si>
  <si>
    <t>d) oblast kultury</t>
  </si>
  <si>
    <t xml:space="preserve">e) oblast zdravotnictví </t>
  </si>
  <si>
    <t>Investiční výdaje</t>
  </si>
  <si>
    <t xml:space="preserve">            dotace </t>
  </si>
  <si>
    <t>Rozpočtový výhled Olomouckého kraje na období 2014 - 2015</t>
  </si>
  <si>
    <t>Rozpočet 2013</t>
  </si>
  <si>
    <t>14/13 (%)</t>
  </si>
  <si>
    <t>15/14 (%)</t>
  </si>
  <si>
    <t xml:space="preserve">f) oblast zdravotnictví - z nájemného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</si>
</sst>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19"/>
      <name val="Arial"/>
      <family val="2"/>
      <charset val="238"/>
    </font>
    <font>
      <b/>
      <sz val="11.6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/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/>
    <xf numFmtId="3" fontId="15" fillId="0" borderId="0" xfId="0" applyNumberFormat="1" applyFont="1" applyFill="1" applyBorder="1" applyAlignment="1"/>
    <xf numFmtId="0" fontId="8" fillId="0" borderId="0" xfId="0" applyFont="1" applyFill="1"/>
    <xf numFmtId="0" fontId="7" fillId="0" borderId="0" xfId="0" applyFont="1" applyFill="1"/>
    <xf numFmtId="3" fontId="2" fillId="0" borderId="0" xfId="0" applyNumberFormat="1" applyFont="1" applyFill="1" applyAlignment="1">
      <alignment horizontal="left"/>
    </xf>
    <xf numFmtId="3" fontId="15" fillId="2" borderId="0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vertical="center"/>
    </xf>
    <xf numFmtId="0" fontId="18" fillId="0" borderId="0" xfId="0" applyFont="1" applyFill="1"/>
    <xf numFmtId="0" fontId="18" fillId="2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/>
    <xf numFmtId="3" fontId="7" fillId="0" borderId="3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/>
    <xf numFmtId="164" fontId="18" fillId="0" borderId="0" xfId="0" applyNumberFormat="1" applyFont="1" applyFill="1" applyBorder="1" applyAlignment="1"/>
    <xf numFmtId="164" fontId="10" fillId="0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3" fontId="4" fillId="3" borderId="12" xfId="0" applyNumberFormat="1" applyFont="1" applyFill="1" applyBorder="1" applyAlignment="1">
      <alignment vertical="center"/>
    </xf>
    <xf numFmtId="0" fontId="20" fillId="0" borderId="0" xfId="0" applyFont="1" applyFill="1"/>
    <xf numFmtId="3" fontId="7" fillId="0" borderId="5" xfId="0" applyNumberFormat="1" applyFont="1" applyFill="1" applyBorder="1" applyAlignment="1"/>
    <xf numFmtId="164" fontId="7" fillId="0" borderId="4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/>
    <xf numFmtId="3" fontId="5" fillId="0" borderId="12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164" fontId="5" fillId="3" borderId="13" xfId="0" applyNumberFormat="1" applyFont="1" applyFill="1" applyBorder="1" applyAlignment="1">
      <alignment horizontal="right" vertical="top"/>
    </xf>
    <xf numFmtId="0" fontId="15" fillId="0" borderId="0" xfId="0" applyFont="1" applyFill="1"/>
    <xf numFmtId="164" fontId="15" fillId="0" borderId="0" xfId="0" applyNumberFormat="1" applyFont="1" applyFill="1" applyBorder="1" applyAlignment="1">
      <alignment horizontal="right"/>
    </xf>
    <xf numFmtId="0" fontId="22" fillId="0" borderId="0" xfId="0" applyFont="1" applyFill="1"/>
    <xf numFmtId="164" fontId="22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0" fontId="6" fillId="4" borderId="0" xfId="0" applyFont="1" applyFill="1"/>
    <xf numFmtId="164" fontId="17" fillId="4" borderId="0" xfId="0" applyNumberFormat="1" applyFont="1" applyFill="1" applyBorder="1" applyAlignment="1">
      <alignment horizontal="right"/>
    </xf>
    <xf numFmtId="0" fontId="6" fillId="5" borderId="0" xfId="0" applyFont="1" applyFill="1"/>
    <xf numFmtId="164" fontId="17" fillId="5" borderId="0" xfId="0" applyNumberFormat="1" applyFont="1" applyFill="1" applyBorder="1" applyAlignment="1">
      <alignment horizontal="right"/>
    </xf>
    <xf numFmtId="164" fontId="23" fillId="3" borderId="13" xfId="0" applyNumberFormat="1" applyFont="1" applyFill="1" applyBorder="1" applyAlignment="1">
      <alignment horizontal="right" vertical="center"/>
    </xf>
    <xf numFmtId="3" fontId="4" fillId="3" borderId="14" xfId="0" applyNumberFormat="1" applyFont="1" applyFill="1" applyBorder="1" applyAlignment="1"/>
    <xf numFmtId="3" fontId="4" fillId="3" borderId="12" xfId="0" applyNumberFormat="1" applyFont="1" applyFill="1" applyBorder="1" applyAlignment="1"/>
    <xf numFmtId="0" fontId="4" fillId="3" borderId="0" xfId="0" applyFont="1" applyFill="1" applyAlignment="1"/>
    <xf numFmtId="0" fontId="7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3" fontId="24" fillId="0" borderId="0" xfId="0" applyNumberFormat="1" applyFont="1" applyFill="1" applyAlignment="1">
      <alignment horizontal="left"/>
    </xf>
    <xf numFmtId="3" fontId="26" fillId="0" borderId="9" xfId="0" applyNumberFormat="1" applyFont="1" applyFill="1" applyBorder="1" applyAlignment="1">
      <alignment horizontal="right" vertical="center"/>
    </xf>
    <xf numFmtId="3" fontId="26" fillId="0" borderId="7" xfId="0" applyNumberFormat="1" applyFont="1" applyFill="1" applyBorder="1" applyAlignment="1">
      <alignment horizontal="right" vertical="center"/>
    </xf>
    <xf numFmtId="3" fontId="26" fillId="0" borderId="7" xfId="0" applyNumberFormat="1" applyFont="1" applyFill="1" applyBorder="1" applyAlignment="1">
      <alignment vertical="center"/>
    </xf>
    <xf numFmtId="3" fontId="26" fillId="0" borderId="16" xfId="0" applyNumberFormat="1" applyFont="1" applyFill="1" applyBorder="1" applyAlignment="1">
      <alignment vertical="center"/>
    </xf>
    <xf numFmtId="3" fontId="27" fillId="3" borderId="8" xfId="0" applyNumberFormat="1" applyFont="1" applyFill="1" applyBorder="1" applyAlignment="1"/>
    <xf numFmtId="3" fontId="25" fillId="0" borderId="8" xfId="0" applyNumberFormat="1" applyFont="1" applyFill="1" applyBorder="1" applyAlignment="1">
      <alignment vertical="center"/>
    </xf>
    <xf numFmtId="3" fontId="25" fillId="3" borderId="8" xfId="0" applyNumberFormat="1" applyFont="1" applyFill="1" applyBorder="1" applyAlignment="1">
      <alignment vertical="center"/>
    </xf>
    <xf numFmtId="3" fontId="26" fillId="0" borderId="7" xfId="0" applyNumberFormat="1" applyFont="1" applyFill="1" applyBorder="1"/>
    <xf numFmtId="3" fontId="26" fillId="0" borderId="16" xfId="0" applyNumberFormat="1" applyFont="1" applyFill="1" applyBorder="1"/>
    <xf numFmtId="3" fontId="28" fillId="0" borderId="0" xfId="0" applyNumberFormat="1" applyFont="1" applyFill="1"/>
    <xf numFmtId="3" fontId="26" fillId="0" borderId="6" xfId="0" applyNumberFormat="1" applyFont="1" applyFill="1" applyBorder="1" applyAlignment="1">
      <alignment vertical="center"/>
    </xf>
    <xf numFmtId="3" fontId="26" fillId="0" borderId="17" xfId="1" applyNumberFormat="1" applyFont="1" applyFill="1" applyBorder="1" applyAlignment="1">
      <alignment vertical="center"/>
    </xf>
    <xf numFmtId="3" fontId="26" fillId="0" borderId="18" xfId="1" applyNumberFormat="1" applyFont="1" applyFill="1" applyBorder="1" applyAlignment="1">
      <alignment vertical="center"/>
    </xf>
    <xf numFmtId="164" fontId="7" fillId="0" borderId="19" xfId="0" applyNumberFormat="1" applyFont="1" applyFill="1" applyBorder="1" applyAlignment="1">
      <alignment horizontal="right" vertical="center"/>
    </xf>
    <xf numFmtId="0" fontId="28" fillId="0" borderId="0" xfId="0" applyFont="1" applyFill="1"/>
    <xf numFmtId="0" fontId="3" fillId="2" borderId="7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/>
    </xf>
    <xf numFmtId="3" fontId="7" fillId="0" borderId="26" xfId="1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horizontal="right" vertical="center"/>
    </xf>
    <xf numFmtId="3" fontId="26" fillId="0" borderId="24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3" fontId="26" fillId="0" borderId="5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vertical="center"/>
    </xf>
    <xf numFmtId="0" fontId="3" fillId="0" borderId="0" xfId="0" applyFont="1" applyFill="1" applyAlignment="1"/>
    <xf numFmtId="164" fontId="7" fillId="0" borderId="2" xfId="0" applyNumberFormat="1" applyFont="1" applyFill="1" applyBorder="1" applyAlignment="1">
      <alignment horizontal="right" vertical="center"/>
    </xf>
    <xf numFmtId="0" fontId="29" fillId="0" borderId="1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/>
    </xf>
    <xf numFmtId="3" fontId="29" fillId="0" borderId="5" xfId="0" applyNumberFormat="1" applyFont="1" applyFill="1" applyBorder="1" applyAlignment="1">
      <alignment vertical="center"/>
    </xf>
    <xf numFmtId="3" fontId="30" fillId="0" borderId="7" xfId="0" applyNumberFormat="1" applyFont="1" applyFill="1" applyBorder="1" applyAlignment="1">
      <alignment vertical="center"/>
    </xf>
    <xf numFmtId="164" fontId="29" fillId="0" borderId="4" xfId="0" applyNumberFormat="1" applyFont="1" applyFill="1" applyBorder="1" applyAlignment="1">
      <alignment horizontal="right" vertical="center"/>
    </xf>
    <xf numFmtId="0" fontId="5" fillId="6" borderId="15" xfId="0" applyFont="1" applyFill="1" applyBorder="1" applyAlignment="1">
      <alignment horizontal="left" vertical="center" wrapText="1"/>
    </xf>
    <xf numFmtId="3" fontId="5" fillId="6" borderId="5" xfId="0" applyNumberFormat="1" applyFont="1" applyFill="1" applyBorder="1" applyAlignment="1">
      <alignment vertical="center"/>
    </xf>
    <xf numFmtId="3" fontId="25" fillId="6" borderId="7" xfId="0" applyNumberFormat="1" applyFont="1" applyFill="1" applyBorder="1" applyAlignment="1">
      <alignment vertical="center"/>
    </xf>
    <xf numFmtId="164" fontId="5" fillId="6" borderId="4" xfId="0" applyNumberFormat="1" applyFont="1" applyFill="1" applyBorder="1"/>
    <xf numFmtId="3" fontId="5" fillId="6" borderId="5" xfId="0" applyNumberFormat="1" applyFont="1" applyFill="1" applyBorder="1"/>
    <xf numFmtId="3" fontId="25" fillId="6" borderId="7" xfId="0" applyNumberFormat="1" applyFont="1" applyFill="1" applyBorder="1"/>
    <xf numFmtId="164" fontId="19" fillId="6" borderId="24" xfId="0" applyNumberFormat="1" applyFont="1" applyFill="1" applyBorder="1" applyAlignment="1">
      <alignment horizontal="right" vertical="center" shrinkToFit="1"/>
    </xf>
    <xf numFmtId="3" fontId="7" fillId="0" borderId="5" xfId="0" applyNumberFormat="1" applyFont="1" applyFill="1" applyBorder="1" applyAlignment="1">
      <alignment horizontal="left" vertical="center"/>
    </xf>
    <xf numFmtId="3" fontId="26" fillId="0" borderId="7" xfId="0" applyNumberFormat="1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3" fontId="29" fillId="0" borderId="6" xfId="0" applyNumberFormat="1" applyFont="1" applyFill="1" applyBorder="1" applyAlignment="1">
      <alignment vertical="center"/>
    </xf>
    <xf numFmtId="3" fontId="30" fillId="0" borderId="16" xfId="0" applyNumberFormat="1" applyFont="1" applyFill="1" applyBorder="1" applyAlignment="1">
      <alignment vertical="center"/>
    </xf>
    <xf numFmtId="0" fontId="29" fillId="6" borderId="2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3" fontId="25" fillId="6" borderId="9" xfId="0" applyNumberFormat="1" applyFont="1" applyFill="1" applyBorder="1" applyAlignment="1">
      <alignment horizontal="right" vertical="center"/>
    </xf>
    <xf numFmtId="3" fontId="5" fillId="6" borderId="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horizontal="right" vertical="center"/>
    </xf>
    <xf numFmtId="3" fontId="25" fillId="6" borderId="7" xfId="0" applyNumberFormat="1" applyFont="1" applyFill="1" applyBorder="1" applyAlignment="1">
      <alignment horizontal="right" vertical="center"/>
    </xf>
    <xf numFmtId="3" fontId="5" fillId="6" borderId="5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 shrinkToFit="1"/>
    </xf>
    <xf numFmtId="164" fontId="5" fillId="6" borderId="20" xfId="0" applyNumberFormat="1" applyFont="1" applyFill="1" applyBorder="1" applyAlignment="1">
      <alignment horizontal="right" vertical="center"/>
    </xf>
    <xf numFmtId="0" fontId="5" fillId="6" borderId="0" xfId="0" applyFont="1" applyFill="1"/>
    <xf numFmtId="0" fontId="29" fillId="6" borderId="7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/>
    <xf numFmtId="3" fontId="25" fillId="6" borderId="9" xfId="0" applyNumberFormat="1" applyFont="1" applyFill="1" applyBorder="1" applyAlignment="1"/>
    <xf numFmtId="0" fontId="5" fillId="6" borderId="24" xfId="0" applyFont="1" applyFill="1" applyBorder="1" applyAlignment="1">
      <alignment horizontal="left"/>
    </xf>
    <xf numFmtId="3" fontId="5" fillId="6" borderId="5" xfId="0" applyNumberFormat="1" applyFont="1" applyFill="1" applyBorder="1" applyAlignment="1"/>
    <xf numFmtId="3" fontId="25" fillId="6" borderId="7" xfId="0" applyNumberFormat="1" applyFont="1" applyFill="1" applyBorder="1" applyAlignment="1"/>
    <xf numFmtId="164" fontId="5" fillId="6" borderId="4" xfId="0" applyNumberFormat="1" applyFont="1" applyFill="1" applyBorder="1" applyAlignment="1">
      <alignment horizontal="right"/>
    </xf>
    <xf numFmtId="0" fontId="5" fillId="6" borderId="0" xfId="0" applyFont="1" applyFill="1" applyAlignment="1"/>
    <xf numFmtId="0" fontId="5" fillId="6" borderId="25" xfId="0" applyFont="1" applyFill="1" applyBorder="1" applyAlignment="1">
      <alignment horizontal="left"/>
    </xf>
    <xf numFmtId="3" fontId="25" fillId="6" borderId="16" xfId="0" applyNumberFormat="1" applyFont="1" applyFill="1" applyBorder="1" applyAlignment="1"/>
    <xf numFmtId="3" fontId="5" fillId="6" borderId="6" xfId="0" applyNumberFormat="1" applyFont="1" applyFill="1" applyBorder="1" applyAlignment="1"/>
    <xf numFmtId="0" fontId="5" fillId="7" borderId="22" xfId="0" applyFont="1" applyFill="1" applyBorder="1" applyAlignment="1">
      <alignment horizontal="left" vertical="center"/>
    </xf>
    <xf numFmtId="3" fontId="5" fillId="7" borderId="12" xfId="0" applyNumberFormat="1" applyFont="1" applyFill="1" applyBorder="1" applyAlignment="1">
      <alignment vertical="center"/>
    </xf>
    <xf numFmtId="3" fontId="25" fillId="7" borderId="8" xfId="0" applyNumberFormat="1" applyFont="1" applyFill="1" applyBorder="1" applyAlignment="1">
      <alignment vertical="center"/>
    </xf>
    <xf numFmtId="164" fontId="5" fillId="7" borderId="13" xfId="0" applyNumberFormat="1" applyFont="1" applyFill="1" applyBorder="1" applyAlignment="1">
      <alignment horizontal="right" vertical="top"/>
    </xf>
    <xf numFmtId="3" fontId="31" fillId="0" borderId="0" xfId="0" applyNumberFormat="1" applyFont="1" applyFill="1"/>
    <xf numFmtId="164" fontId="31" fillId="0" borderId="0" xfId="0" applyNumberFormat="1" applyFont="1" applyFill="1" applyBorder="1" applyAlignment="1">
      <alignment horizontal="right"/>
    </xf>
    <xf numFmtId="0" fontId="31" fillId="0" borderId="0" xfId="0" applyFont="1" applyFill="1"/>
    <xf numFmtId="0" fontId="32" fillId="0" borderId="0" xfId="0" applyFont="1" applyFill="1" applyAlignment="1"/>
    <xf numFmtId="0" fontId="32" fillId="0" borderId="0" xfId="0" applyFont="1" applyFill="1"/>
    <xf numFmtId="0" fontId="20" fillId="0" borderId="0" xfId="0" applyFont="1" applyFill="1" applyBorder="1"/>
    <xf numFmtId="3" fontId="20" fillId="0" borderId="0" xfId="0" applyNumberFormat="1" applyFont="1" applyFill="1" applyBorder="1"/>
    <xf numFmtId="3" fontId="11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28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6" fillId="4" borderId="0" xfId="0" applyFont="1" applyFill="1" applyBorder="1"/>
    <xf numFmtId="3" fontId="6" fillId="4" borderId="0" xfId="0" applyNumberFormat="1" applyFont="1" applyFill="1" applyBorder="1"/>
    <xf numFmtId="3" fontId="11" fillId="4" borderId="0" xfId="0" applyNumberFormat="1" applyFont="1" applyFill="1" applyBorder="1"/>
    <xf numFmtId="0" fontId="6" fillId="5" borderId="0" xfId="0" applyFont="1" applyFill="1" applyBorder="1"/>
    <xf numFmtId="3" fontId="6" fillId="5" borderId="0" xfId="0" applyNumberFormat="1" applyFont="1" applyFill="1" applyBorder="1"/>
    <xf numFmtId="3" fontId="11" fillId="5" borderId="0" xfId="0" applyNumberFormat="1" applyFont="1" applyFill="1" applyBorder="1"/>
    <xf numFmtId="0" fontId="3" fillId="2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3" fontId="7" fillId="0" borderId="38" xfId="0" applyNumberFormat="1" applyFont="1" applyFill="1" applyBorder="1" applyAlignment="1">
      <alignment vertical="center"/>
    </xf>
    <xf numFmtId="3" fontId="26" fillId="0" borderId="28" xfId="0" applyNumberFormat="1" applyFont="1" applyFill="1" applyBorder="1" applyAlignment="1">
      <alignment vertical="center"/>
    </xf>
    <xf numFmtId="3" fontId="7" fillId="0" borderId="32" xfId="0" applyNumberFormat="1" applyFont="1" applyFill="1" applyBorder="1" applyAlignment="1">
      <alignment vertical="center"/>
    </xf>
    <xf numFmtId="164" fontId="7" fillId="0" borderId="35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Alignment="1"/>
    <xf numFmtId="3" fontId="33" fillId="0" borderId="0" xfId="0" applyNumberFormat="1" applyFont="1" applyFill="1"/>
    <xf numFmtId="3" fontId="32" fillId="0" borderId="0" xfId="0" applyNumberFormat="1" applyFont="1" applyFill="1"/>
    <xf numFmtId="164" fontId="5" fillId="6" borderId="4" xfId="0" applyNumberFormat="1" applyFont="1" applyFill="1" applyBorder="1" applyAlignment="1">
      <alignment vertical="center"/>
    </xf>
    <xf numFmtId="164" fontId="23" fillId="3" borderId="13" xfId="0" applyNumberFormat="1" applyFont="1" applyFill="1" applyBorder="1" applyAlignment="1">
      <alignment horizontal="right"/>
    </xf>
    <xf numFmtId="164" fontId="3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" fontId="34" fillId="0" borderId="0" xfId="0" applyNumberFormat="1" applyFont="1" applyFill="1"/>
    <xf numFmtId="3" fontId="7" fillId="8" borderId="5" xfId="0" applyNumberFormat="1" applyFont="1" applyFill="1" applyBorder="1" applyAlignment="1">
      <alignment horizontal="right" vertical="center"/>
    </xf>
    <xf numFmtId="164" fontId="7" fillId="8" borderId="4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vertical="center"/>
    </xf>
    <xf numFmtId="3" fontId="25" fillId="0" borderId="42" xfId="0" applyNumberFormat="1" applyFont="1" applyFill="1" applyBorder="1" applyAlignment="1">
      <alignment vertical="center"/>
    </xf>
    <xf numFmtId="164" fontId="5" fillId="0" borderId="43" xfId="0" applyNumberFormat="1" applyFont="1" applyFill="1" applyBorder="1" applyAlignment="1">
      <alignment horizontal="right" vertical="top"/>
    </xf>
    <xf numFmtId="164" fontId="5" fillId="0" borderId="44" xfId="0" applyNumberFormat="1" applyFont="1" applyFill="1" applyBorder="1" applyAlignment="1">
      <alignment horizontal="right" vertical="top"/>
    </xf>
    <xf numFmtId="0" fontId="29" fillId="2" borderId="45" xfId="0" applyFont="1" applyFill="1" applyBorder="1" applyAlignment="1">
      <alignment horizontal="center" vertical="center"/>
    </xf>
    <xf numFmtId="164" fontId="5" fillId="3" borderId="46" xfId="0" applyNumberFormat="1" applyFont="1" applyFill="1" applyBorder="1" applyAlignment="1">
      <alignment horizontal="right" vertical="top"/>
    </xf>
    <xf numFmtId="164" fontId="5" fillId="0" borderId="46" xfId="0" applyNumberFormat="1" applyFont="1" applyFill="1" applyBorder="1" applyAlignment="1">
      <alignment vertical="center"/>
    </xf>
    <xf numFmtId="0" fontId="29" fillId="7" borderId="45" xfId="0" applyFont="1" applyFill="1" applyBorder="1" applyAlignment="1">
      <alignment horizontal="center" vertical="center"/>
    </xf>
    <xf numFmtId="0" fontId="29" fillId="6" borderId="47" xfId="0" applyFont="1" applyFill="1" applyBorder="1" applyAlignment="1">
      <alignment horizontal="center" vertical="center"/>
    </xf>
    <xf numFmtId="164" fontId="5" fillId="6" borderId="48" xfId="0" applyNumberFormat="1" applyFont="1" applyFill="1" applyBorder="1" applyAlignment="1">
      <alignment horizontal="right"/>
    </xf>
    <xf numFmtId="0" fontId="29" fillId="6" borderId="49" xfId="0" applyFont="1" applyFill="1" applyBorder="1" applyAlignment="1">
      <alignment horizontal="center"/>
    </xf>
    <xf numFmtId="0" fontId="29" fillId="0" borderId="49" xfId="0" applyFont="1" applyFill="1" applyBorder="1" applyAlignment="1">
      <alignment horizontal="center" vertical="center"/>
    </xf>
    <xf numFmtId="164" fontId="7" fillId="0" borderId="48" xfId="0" applyNumberFormat="1" applyFont="1" applyFill="1" applyBorder="1" applyAlignment="1">
      <alignment horizontal="right"/>
    </xf>
    <xf numFmtId="0" fontId="29" fillId="0" borderId="49" xfId="0" applyFont="1" applyFill="1" applyBorder="1" applyAlignment="1">
      <alignment horizontal="center"/>
    </xf>
    <xf numFmtId="0" fontId="29" fillId="6" borderId="49" xfId="0" applyFont="1" applyFill="1" applyBorder="1" applyAlignment="1">
      <alignment horizontal="center" vertical="center"/>
    </xf>
    <xf numFmtId="164" fontId="7" fillId="0" borderId="48" xfId="0" applyNumberFormat="1" applyFont="1" applyFill="1" applyBorder="1" applyAlignment="1">
      <alignment horizontal="right" vertical="center"/>
    </xf>
    <xf numFmtId="0" fontId="29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/>
    </xf>
    <xf numFmtId="3" fontId="7" fillId="0" borderId="52" xfId="0" applyNumberFormat="1" applyFont="1" applyFill="1" applyBorder="1" applyAlignment="1"/>
    <xf numFmtId="3" fontId="26" fillId="0" borderId="53" xfId="0" applyNumberFormat="1" applyFont="1" applyFill="1" applyBorder="1"/>
    <xf numFmtId="164" fontId="7" fillId="0" borderId="54" xfId="0" applyNumberFormat="1" applyFont="1" applyFill="1" applyBorder="1" applyAlignment="1">
      <alignment horizontal="right" vertical="center"/>
    </xf>
    <xf numFmtId="164" fontId="7" fillId="0" borderId="55" xfId="0" applyNumberFormat="1" applyFont="1" applyFill="1" applyBorder="1" applyAlignment="1">
      <alignment horizontal="right" vertical="center"/>
    </xf>
    <xf numFmtId="3" fontId="29" fillId="0" borderId="6" xfId="0" applyNumberFormat="1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164" fontId="29" fillId="0" borderId="37" xfId="0" applyNumberFormat="1" applyFont="1" applyFill="1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3" fontId="4" fillId="3" borderId="30" xfId="0" applyNumberFormat="1" applyFont="1" applyFill="1" applyBorder="1" applyAlignment="1">
      <alignment horizontal="center"/>
    </xf>
    <xf numFmtId="0" fontId="0" fillId="3" borderId="30" xfId="0" applyFill="1" applyBorder="1" applyAlignment="1"/>
    <xf numFmtId="0" fontId="0" fillId="3" borderId="22" xfId="0" applyFill="1" applyBorder="1" applyAlignment="1"/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164" fontId="6" fillId="3" borderId="34" xfId="0" applyNumberFormat="1" applyFont="1" applyFill="1" applyBorder="1" applyAlignment="1">
      <alignment horizontal="center" vertical="center" wrapText="1"/>
    </xf>
    <xf numFmtId="164" fontId="6" fillId="3" borderId="35" xfId="0" applyNumberFormat="1" applyFont="1" applyFill="1" applyBorder="1" applyAlignment="1">
      <alignment horizontal="center" vertical="center" wrapText="1"/>
    </xf>
    <xf numFmtId="164" fontId="6" fillId="3" borderId="3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3" fontId="25" fillId="3" borderId="27" xfId="0" applyNumberFormat="1" applyFont="1" applyFill="1" applyBorder="1" applyAlignment="1">
      <alignment horizontal="center" vertical="center" wrapText="1"/>
    </xf>
    <xf numFmtId="3" fontId="25" fillId="3" borderId="28" xfId="0" applyNumberFormat="1" applyFont="1" applyFill="1" applyBorder="1" applyAlignment="1">
      <alignment horizontal="center" vertical="center" wrapText="1"/>
    </xf>
    <xf numFmtId="3" fontId="25" fillId="3" borderId="29" xfId="0" applyNumberFormat="1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B115"/>
  <sheetViews>
    <sheetView showGridLines="0" tabSelected="1" view="pageBreakPreview" zoomScaleNormal="100" zoomScaleSheetLayoutView="100" workbookViewId="0">
      <selection activeCell="G116" sqref="G116"/>
    </sheetView>
  </sheetViews>
  <sheetFormatPr defaultRowHeight="12.75" x14ac:dyDescent="0.2"/>
  <cols>
    <col min="1" max="1" width="5.28515625" style="2" customWidth="1"/>
    <col min="2" max="2" width="49.85546875" style="2" customWidth="1"/>
    <col min="3" max="3" width="20.28515625" style="15" customWidth="1"/>
    <col min="4" max="4" width="20.28515625" style="88" hidden="1" customWidth="1"/>
    <col min="5" max="5" width="20.28515625" style="15" customWidth="1"/>
    <col min="6" max="6" width="7.140625" style="51" customWidth="1"/>
    <col min="7" max="7" width="20.28515625" style="15" customWidth="1"/>
    <col min="8" max="8" width="7.140625" style="51" customWidth="1"/>
    <col min="9" max="16384" width="9.140625" style="2"/>
  </cols>
  <sheetData>
    <row r="1" spans="1:184" ht="25.5" customHeight="1" x14ac:dyDescent="0.25">
      <c r="A1" s="1" t="s">
        <v>67</v>
      </c>
      <c r="C1" s="19"/>
      <c r="D1" s="78"/>
      <c r="E1" s="1"/>
      <c r="F1" s="43"/>
      <c r="G1" s="1"/>
      <c r="H1" s="2"/>
    </row>
    <row r="2" spans="1:184" ht="18.75" thickBot="1" x14ac:dyDescent="0.3">
      <c r="A2" s="1"/>
      <c r="C2" s="19"/>
      <c r="D2" s="78"/>
      <c r="E2" s="1"/>
      <c r="F2" s="43"/>
      <c r="G2" s="1"/>
      <c r="H2" s="43" t="s">
        <v>40</v>
      </c>
    </row>
    <row r="3" spans="1:184" ht="17.25" customHeight="1" thickTop="1" thickBot="1" x14ac:dyDescent="0.3">
      <c r="A3" s="247" t="s">
        <v>36</v>
      </c>
      <c r="B3" s="241" t="s">
        <v>18</v>
      </c>
      <c r="C3" s="244" t="s">
        <v>68</v>
      </c>
      <c r="D3" s="238" t="s">
        <v>32</v>
      </c>
      <c r="E3" s="228" t="s">
        <v>0</v>
      </c>
      <c r="F3" s="228"/>
      <c r="G3" s="229"/>
      <c r="H3" s="230"/>
    </row>
    <row r="4" spans="1:184" s="3" customFormat="1" ht="18.75" customHeight="1" thickTop="1" x14ac:dyDescent="0.2">
      <c r="A4" s="248"/>
      <c r="B4" s="242"/>
      <c r="C4" s="245"/>
      <c r="D4" s="239"/>
      <c r="E4" s="231">
        <v>2014</v>
      </c>
      <c r="F4" s="234" t="s">
        <v>69</v>
      </c>
      <c r="G4" s="231">
        <v>2015</v>
      </c>
      <c r="H4" s="234" t="s">
        <v>70</v>
      </c>
    </row>
    <row r="5" spans="1:184" s="4" customFormat="1" ht="31.5" customHeight="1" x14ac:dyDescent="0.2">
      <c r="A5" s="248"/>
      <c r="B5" s="242"/>
      <c r="C5" s="245"/>
      <c r="D5" s="239"/>
      <c r="E5" s="232"/>
      <c r="F5" s="235"/>
      <c r="G5" s="232"/>
      <c r="H5" s="235"/>
    </row>
    <row r="6" spans="1:184" s="4" customFormat="1" ht="13.5" customHeight="1" thickBot="1" x14ac:dyDescent="0.25">
      <c r="A6" s="249"/>
      <c r="B6" s="243"/>
      <c r="C6" s="246"/>
      <c r="D6" s="240"/>
      <c r="E6" s="233"/>
      <c r="F6" s="236"/>
      <c r="G6" s="233"/>
      <c r="H6" s="236"/>
    </row>
    <row r="7" spans="1:184" s="133" customFormat="1" ht="17.100000000000001" customHeight="1" thickTop="1" x14ac:dyDescent="0.2">
      <c r="A7" s="127">
        <v>1</v>
      </c>
      <c r="B7" s="128" t="s">
        <v>1</v>
      </c>
      <c r="C7" s="129">
        <f>SUM(C8:C9)</f>
        <v>3163190</v>
      </c>
      <c r="D7" s="130">
        <f>SUM(D8:D9)</f>
        <v>1549100</v>
      </c>
      <c r="E7" s="131">
        <f>SUM(E8:E9)</f>
        <v>3194810</v>
      </c>
      <c r="F7" s="132">
        <f>E7/C7*100</f>
        <v>100.99962379749556</v>
      </c>
      <c r="G7" s="131">
        <f>SUM(G8:G9)</f>
        <v>3242714</v>
      </c>
      <c r="H7" s="132">
        <f>G7/E7*100</f>
        <v>101.49943189109838</v>
      </c>
    </row>
    <row r="8" spans="1:184" s="5" customFormat="1" ht="17.100000000000001" customHeight="1" x14ac:dyDescent="0.2">
      <c r="A8" s="94">
        <v>2</v>
      </c>
      <c r="B8" s="38" t="s">
        <v>10</v>
      </c>
      <c r="C8" s="29">
        <v>3162000</v>
      </c>
      <c r="D8" s="79">
        <v>1548053</v>
      </c>
      <c r="E8" s="33">
        <f>C8*1.01</f>
        <v>3193620</v>
      </c>
      <c r="F8" s="34">
        <f>E8/C8*100</f>
        <v>101</v>
      </c>
      <c r="G8" s="33">
        <v>3241524</v>
      </c>
      <c r="H8" s="34">
        <f>G8/E8*100</f>
        <v>101.49999060627127</v>
      </c>
    </row>
    <row r="9" spans="1:184" s="5" customFormat="1" ht="17.100000000000001" customHeight="1" x14ac:dyDescent="0.2">
      <c r="A9" s="94">
        <v>3</v>
      </c>
      <c r="B9" s="38" t="s">
        <v>11</v>
      </c>
      <c r="C9" s="29">
        <v>1190</v>
      </c>
      <c r="D9" s="79">
        <f>169+878</f>
        <v>1047</v>
      </c>
      <c r="E9" s="33">
        <f>C9</f>
        <v>1190</v>
      </c>
      <c r="F9" s="34">
        <f>E9/C9*100</f>
        <v>100</v>
      </c>
      <c r="G9" s="33">
        <f>E9</f>
        <v>1190</v>
      </c>
      <c r="H9" s="34">
        <f>G9/E9*100</f>
        <v>100</v>
      </c>
    </row>
    <row r="10" spans="1:184" s="133" customFormat="1" ht="17.100000000000001" customHeight="1" x14ac:dyDescent="0.2">
      <c r="A10" s="134">
        <v>4</v>
      </c>
      <c r="B10" s="135" t="s">
        <v>2</v>
      </c>
      <c r="C10" s="136">
        <f>SUM(C11:C16)</f>
        <v>241818</v>
      </c>
      <c r="D10" s="137">
        <f>SUM(D11:D16)</f>
        <v>207231</v>
      </c>
      <c r="E10" s="138">
        <f>SUM(E11:E16)</f>
        <v>236381.003</v>
      </c>
      <c r="F10" s="139">
        <f t="shared" ref="F10" si="0">E10/C10*100</f>
        <v>97.751616091440667</v>
      </c>
      <c r="G10" s="138">
        <f>SUM(G11:G16)</f>
        <v>232848</v>
      </c>
      <c r="H10" s="139">
        <f>G10/C10*100</f>
        <v>96.290598714735879</v>
      </c>
      <c r="GB10" s="133">
        <v>761937.54647170787</v>
      </c>
    </row>
    <row r="11" spans="1:184" s="5" customFormat="1" ht="17.100000000000001" customHeight="1" x14ac:dyDescent="0.2">
      <c r="A11" s="94">
        <v>5</v>
      </c>
      <c r="B11" s="38" t="s">
        <v>13</v>
      </c>
      <c r="C11" s="108">
        <f>3+43+37749+22.2</f>
        <v>37817.199999999997</v>
      </c>
      <c r="D11" s="80">
        <f>8+18502+112</f>
        <v>18622</v>
      </c>
      <c r="E11" s="35">
        <f>C11</f>
        <v>37817.199999999997</v>
      </c>
      <c r="F11" s="34">
        <f>E11/C11*100</f>
        <v>100</v>
      </c>
      <c r="G11" s="35">
        <v>37817</v>
      </c>
      <c r="H11" s="34">
        <f>G11/E11*100</f>
        <v>99.999471140116142</v>
      </c>
    </row>
    <row r="12" spans="1:184" s="5" customFormat="1" ht="17.100000000000001" customHeight="1" x14ac:dyDescent="0.2">
      <c r="A12" s="94">
        <v>6</v>
      </c>
      <c r="B12" s="38" t="s">
        <v>14</v>
      </c>
      <c r="C12" s="30">
        <f>200+2040</f>
        <v>2240</v>
      </c>
      <c r="D12" s="80">
        <v>5285</v>
      </c>
      <c r="E12" s="35">
        <f>C12</f>
        <v>2240</v>
      </c>
      <c r="F12" s="34">
        <f t="shared" ref="F12:F16" si="1">E12/C12*100</f>
        <v>100</v>
      </c>
      <c r="G12" s="35">
        <v>2240</v>
      </c>
      <c r="H12" s="34">
        <f t="shared" ref="H12:H14" si="2">G12/E12*100</f>
        <v>100</v>
      </c>
    </row>
    <row r="13" spans="1:184" s="5" customFormat="1" ht="17.100000000000001" customHeight="1" x14ac:dyDescent="0.2">
      <c r="A13" s="94">
        <v>7</v>
      </c>
      <c r="B13" s="38" t="s">
        <v>15</v>
      </c>
      <c r="C13" s="108">
        <f>7000.803+6</f>
        <v>7006.8029999999999</v>
      </c>
      <c r="D13" s="80">
        <v>8737</v>
      </c>
      <c r="E13" s="35">
        <f t="shared" ref="E13:E14" si="3">C13</f>
        <v>7006.8029999999999</v>
      </c>
      <c r="F13" s="34">
        <f t="shared" si="1"/>
        <v>100</v>
      </c>
      <c r="G13" s="35">
        <v>7007</v>
      </c>
      <c r="H13" s="34">
        <f t="shared" si="2"/>
        <v>100.00281155328614</v>
      </c>
    </row>
    <row r="14" spans="1:184" s="5" customFormat="1" ht="17.100000000000001" customHeight="1" x14ac:dyDescent="0.2">
      <c r="A14" s="94">
        <v>8</v>
      </c>
      <c r="B14" s="38" t="s">
        <v>16</v>
      </c>
      <c r="C14" s="30">
        <v>140417</v>
      </c>
      <c r="D14" s="80">
        <v>147080</v>
      </c>
      <c r="E14" s="35">
        <f t="shared" si="3"/>
        <v>140417</v>
      </c>
      <c r="F14" s="34">
        <f t="shared" si="1"/>
        <v>100</v>
      </c>
      <c r="G14" s="35">
        <f t="shared" ref="G14" si="4">E14</f>
        <v>140417</v>
      </c>
      <c r="H14" s="34">
        <f t="shared" si="2"/>
        <v>100</v>
      </c>
    </row>
    <row r="15" spans="1:184" s="5" customFormat="1" ht="17.100000000000001" customHeight="1" x14ac:dyDescent="0.2">
      <c r="A15" s="94">
        <v>9</v>
      </c>
      <c r="B15" s="38" t="s">
        <v>33</v>
      </c>
      <c r="C15" s="108">
        <f>144+6692.997+7500</f>
        <v>14336.996999999999</v>
      </c>
      <c r="D15" s="80">
        <v>92</v>
      </c>
      <c r="E15" s="198">
        <f>400+4000+2500+2000</f>
        <v>8900</v>
      </c>
      <c r="F15" s="199">
        <f>E15/C15*100</f>
        <v>62.07715604599764</v>
      </c>
      <c r="G15" s="198">
        <v>5367</v>
      </c>
      <c r="H15" s="34">
        <f>G15/E15*100</f>
        <v>60.303370786516851</v>
      </c>
    </row>
    <row r="16" spans="1:184" s="5" customFormat="1" ht="17.100000000000001" customHeight="1" x14ac:dyDescent="0.2">
      <c r="A16" s="94">
        <v>10</v>
      </c>
      <c r="B16" s="38" t="s">
        <v>17</v>
      </c>
      <c r="C16" s="30">
        <v>40000</v>
      </c>
      <c r="D16" s="80">
        <v>27415</v>
      </c>
      <c r="E16" s="35">
        <f>C16</f>
        <v>40000</v>
      </c>
      <c r="F16" s="34">
        <f t="shared" si="1"/>
        <v>100</v>
      </c>
      <c r="G16" s="35">
        <f>E16</f>
        <v>40000</v>
      </c>
      <c r="H16" s="34">
        <f>G16/E16*100</f>
        <v>100</v>
      </c>
    </row>
    <row r="17" spans="1:8" s="133" customFormat="1" ht="17.100000000000001" customHeight="1" x14ac:dyDescent="0.2">
      <c r="A17" s="134">
        <v>11</v>
      </c>
      <c r="B17" s="135" t="s">
        <v>3</v>
      </c>
      <c r="C17" s="140">
        <f>300+20700</f>
        <v>21000</v>
      </c>
      <c r="D17" s="137">
        <f>2228+4874+19</f>
        <v>7121</v>
      </c>
      <c r="E17" s="138">
        <v>70000</v>
      </c>
      <c r="F17" s="139">
        <f>E17/C17*100</f>
        <v>333.33333333333337</v>
      </c>
      <c r="G17" s="138">
        <v>21000</v>
      </c>
      <c r="H17" s="139">
        <f>G17/E17*100</f>
        <v>30</v>
      </c>
    </row>
    <row r="18" spans="1:8" s="133" customFormat="1" ht="17.100000000000001" customHeight="1" x14ac:dyDescent="0.2">
      <c r="A18" s="134">
        <v>12</v>
      </c>
      <c r="B18" s="135" t="s">
        <v>4</v>
      </c>
      <c r="C18" s="140">
        <f>SUM(C19:C19)</f>
        <v>73669</v>
      </c>
      <c r="D18" s="137">
        <f>SUM(D19:D19)</f>
        <v>41970</v>
      </c>
      <c r="E18" s="138">
        <f>SUM(E19:E20)</f>
        <v>78669</v>
      </c>
      <c r="F18" s="141">
        <f>E18/C18*100</f>
        <v>106.78711534023807</v>
      </c>
      <c r="G18" s="138">
        <f>SUM(G19:G20)</f>
        <v>83669</v>
      </c>
      <c r="H18" s="139">
        <f>G18/E18*100</f>
        <v>106.35574368556864</v>
      </c>
    </row>
    <row r="19" spans="1:8" s="5" customFormat="1" ht="17.100000000000001" customHeight="1" x14ac:dyDescent="0.2">
      <c r="A19" s="94">
        <v>13</v>
      </c>
      <c r="B19" s="39" t="s">
        <v>12</v>
      </c>
      <c r="C19" s="31">
        <v>73669</v>
      </c>
      <c r="D19" s="81">
        <v>41970</v>
      </c>
      <c r="E19" s="36">
        <f>C19</f>
        <v>73669</v>
      </c>
      <c r="F19" s="34">
        <f>E19/C19*100</f>
        <v>100</v>
      </c>
      <c r="G19" s="36">
        <f>E19</f>
        <v>73669</v>
      </c>
      <c r="H19" s="34">
        <f>G19/C19*100</f>
        <v>100</v>
      </c>
    </row>
    <row r="20" spans="1:8" s="5" customFormat="1" ht="17.100000000000001" customHeight="1" thickBot="1" x14ac:dyDescent="0.25">
      <c r="A20" s="184">
        <v>14</v>
      </c>
      <c r="B20" s="185" t="s">
        <v>66</v>
      </c>
      <c r="C20" s="186"/>
      <c r="D20" s="187"/>
      <c r="E20" s="188">
        <v>5000</v>
      </c>
      <c r="F20" s="189"/>
      <c r="G20" s="188">
        <v>10000</v>
      </c>
      <c r="H20" s="34">
        <f>G20/E20*100</f>
        <v>200</v>
      </c>
    </row>
    <row r="21" spans="1:8" s="75" customFormat="1" ht="27" customHeight="1" thickTop="1" thickBot="1" x14ac:dyDescent="0.3">
      <c r="A21" s="96">
        <v>15</v>
      </c>
      <c r="B21" s="40" t="s">
        <v>5</v>
      </c>
      <c r="C21" s="73">
        <f>SUM(C17:C18,C10,C7)</f>
        <v>3499677</v>
      </c>
      <c r="D21" s="83">
        <f>SUM(D17:D18,D10,D7)</f>
        <v>1805422</v>
      </c>
      <c r="E21" s="74">
        <f>SUM(E17:E18,E10,E7)</f>
        <v>3579860.003</v>
      </c>
      <c r="F21" s="194">
        <f>E21/C21*100</f>
        <v>102.29115438367597</v>
      </c>
      <c r="G21" s="74">
        <f>SUM(G17:G18,G10,G7)</f>
        <v>3580231</v>
      </c>
      <c r="H21" s="194">
        <f>G21/E21*100</f>
        <v>100.01036344995865</v>
      </c>
    </row>
    <row r="22" spans="1:8" s="6" customFormat="1" ht="13.5" hidden="1" thickTop="1" x14ac:dyDescent="0.2">
      <c r="B22" s="7"/>
      <c r="C22" s="32" t="e">
        <f>SUM(#REF!)</f>
        <v>#REF!</v>
      </c>
      <c r="D22" s="32">
        <f>SUM(D85)</f>
        <v>0</v>
      </c>
      <c r="E22" s="32">
        <f>SUM(E85)</f>
        <v>0</v>
      </c>
      <c r="F22" s="44">
        <f>SUM(F85)</f>
        <v>0</v>
      </c>
      <c r="G22" s="32">
        <f>SUM(G85)+G84</f>
        <v>0</v>
      </c>
      <c r="H22" s="44">
        <f>SUM(H85)</f>
        <v>0</v>
      </c>
    </row>
    <row r="23" spans="1:8" s="6" customFormat="1" ht="13.5" hidden="1" thickTop="1" x14ac:dyDescent="0.2">
      <c r="B23" s="7"/>
      <c r="C23" s="22" t="e">
        <f>SUM(C22:C22)</f>
        <v>#REF!</v>
      </c>
      <c r="D23" s="32">
        <f>SUM(D21:D22)</f>
        <v>1805422</v>
      </c>
      <c r="E23" s="22">
        <f>SUM(E21:E22)</f>
        <v>3579860.003</v>
      </c>
      <c r="F23" s="45">
        <f>SUM(F21:F22)</f>
        <v>102.29115438367597</v>
      </c>
      <c r="G23" s="22">
        <f>SUM(G21:G22)</f>
        <v>3580231</v>
      </c>
      <c r="H23" s="22">
        <f>SUM(H21:H22)</f>
        <v>100.01036344995865</v>
      </c>
    </row>
    <row r="24" spans="1:8" s="24" customFormat="1" ht="13.5" hidden="1" thickTop="1" x14ac:dyDescent="0.2">
      <c r="B24" s="23"/>
      <c r="C24" s="22" t="e">
        <f>-SUM(#REF!)</f>
        <v>#REF!</v>
      </c>
      <c r="D24" s="32" t="e">
        <f>-SUM(#REF!)</f>
        <v>#REF!</v>
      </c>
      <c r="E24" s="22" t="e">
        <f>-SUM(#REF!)</f>
        <v>#REF!</v>
      </c>
      <c r="F24" s="45"/>
      <c r="G24" s="22" t="e">
        <f>-SUM(#REF!)</f>
        <v>#REF!</v>
      </c>
      <c r="H24" s="22" t="e">
        <f>-SUM(#REF!)</f>
        <v>#REF!</v>
      </c>
    </row>
    <row r="25" spans="1:8" s="24" customFormat="1" ht="13.5" hidden="1" thickTop="1" x14ac:dyDescent="0.2">
      <c r="B25" s="23"/>
      <c r="C25" s="22" t="e">
        <f t="shared" ref="C25:H25" si="5">SUM(C23:C24)</f>
        <v>#REF!</v>
      </c>
      <c r="D25" s="32" t="e">
        <f t="shared" si="5"/>
        <v>#REF!</v>
      </c>
      <c r="E25" s="22" t="e">
        <f t="shared" si="5"/>
        <v>#REF!</v>
      </c>
      <c r="F25" s="45">
        <f t="shared" si="5"/>
        <v>102.29115438367597</v>
      </c>
      <c r="G25" s="22" t="e">
        <f t="shared" si="5"/>
        <v>#REF!</v>
      </c>
      <c r="H25" s="22" t="e">
        <f t="shared" si="5"/>
        <v>#REF!</v>
      </c>
    </row>
    <row r="26" spans="1:8" s="24" customFormat="1" ht="13.5" hidden="1" thickTop="1" x14ac:dyDescent="0.2">
      <c r="B26" s="23"/>
      <c r="C26" s="22" t="e">
        <f>-SUM(#REF!)</f>
        <v>#REF!</v>
      </c>
      <c r="D26" s="32" t="e">
        <f>-SUM(#REF!)</f>
        <v>#REF!</v>
      </c>
      <c r="E26" s="22" t="e">
        <f>-SUM(#REF!)</f>
        <v>#REF!</v>
      </c>
      <c r="F26" s="22" t="e">
        <f>-SUM(#REF!)</f>
        <v>#REF!</v>
      </c>
      <c r="G26" s="22" t="e">
        <f>-SUM(#REF!)</f>
        <v>#REF!</v>
      </c>
      <c r="H26" s="22" t="e">
        <f>-SUM(#REF!)</f>
        <v>#REF!</v>
      </c>
    </row>
    <row r="27" spans="1:8" s="24" customFormat="1" ht="13.5" hidden="1" thickTop="1" x14ac:dyDescent="0.2">
      <c r="B27" s="23"/>
      <c r="C27" s="22" t="e">
        <f>-SUM(#REF!)</f>
        <v>#REF!</v>
      </c>
      <c r="D27" s="32">
        <f>-SUM(D87)</f>
        <v>0</v>
      </c>
      <c r="E27" s="22">
        <f>-SUM(E87)</f>
        <v>0</v>
      </c>
      <c r="F27" s="22">
        <f>-SUM(F87)</f>
        <v>0</v>
      </c>
      <c r="G27" s="22">
        <f>-SUM(G87)-G84</f>
        <v>0</v>
      </c>
      <c r="H27" s="22">
        <f>-SUM(H87)-H84</f>
        <v>0</v>
      </c>
    </row>
    <row r="28" spans="1:8" s="6" customFormat="1" ht="13.5" hidden="1" thickTop="1" x14ac:dyDescent="0.2">
      <c r="B28" s="7"/>
      <c r="C28" s="16" t="e">
        <f t="shared" ref="C28:H28" si="6">SUM(C25:C27)</f>
        <v>#REF!</v>
      </c>
      <c r="D28" s="32" t="e">
        <f t="shared" si="6"/>
        <v>#REF!</v>
      </c>
      <c r="E28" s="16" t="e">
        <f t="shared" si="6"/>
        <v>#REF!</v>
      </c>
      <c r="F28" s="16" t="e">
        <f t="shared" si="6"/>
        <v>#REF!</v>
      </c>
      <c r="G28" s="16" t="e">
        <f t="shared" si="6"/>
        <v>#REF!</v>
      </c>
      <c r="H28" s="16" t="e">
        <f t="shared" si="6"/>
        <v>#REF!</v>
      </c>
    </row>
    <row r="29" spans="1:8" s="6" customFormat="1" ht="13.5" thickTop="1" x14ac:dyDescent="0.2">
      <c r="B29" s="7"/>
      <c r="C29" s="16"/>
      <c r="D29" s="32"/>
      <c r="E29" s="16"/>
      <c r="F29" s="16"/>
      <c r="G29" s="16"/>
      <c r="H29" s="16"/>
    </row>
    <row r="30" spans="1:8" s="6" customFormat="1" ht="13.5" thickBot="1" x14ac:dyDescent="0.25">
      <c r="B30" s="7"/>
      <c r="C30" s="16"/>
      <c r="D30" s="32"/>
      <c r="E30" s="8"/>
      <c r="F30" s="46"/>
      <c r="G30" s="8"/>
      <c r="H30" s="46"/>
    </row>
    <row r="31" spans="1:8" ht="17.25" customHeight="1" thickTop="1" thickBot="1" x14ac:dyDescent="0.3">
      <c r="A31" s="247" t="s">
        <v>36</v>
      </c>
      <c r="B31" s="241" t="s">
        <v>19</v>
      </c>
      <c r="C31" s="244" t="s">
        <v>68</v>
      </c>
      <c r="D31" s="238" t="s">
        <v>32</v>
      </c>
      <c r="E31" s="228" t="s">
        <v>0</v>
      </c>
      <c r="F31" s="228"/>
      <c r="G31" s="229"/>
      <c r="H31" s="230"/>
    </row>
    <row r="32" spans="1:8" s="3" customFormat="1" ht="18.75" customHeight="1" thickTop="1" x14ac:dyDescent="0.2">
      <c r="A32" s="248"/>
      <c r="B32" s="242"/>
      <c r="C32" s="245"/>
      <c r="D32" s="239"/>
      <c r="E32" s="231">
        <v>2014</v>
      </c>
      <c r="F32" s="234" t="s">
        <v>69</v>
      </c>
      <c r="G32" s="231">
        <v>2015</v>
      </c>
      <c r="H32" s="234" t="s">
        <v>70</v>
      </c>
    </row>
    <row r="33" spans="1:8" s="4" customFormat="1" ht="31.5" customHeight="1" x14ac:dyDescent="0.2">
      <c r="A33" s="248"/>
      <c r="B33" s="242"/>
      <c r="C33" s="245"/>
      <c r="D33" s="239"/>
      <c r="E33" s="232"/>
      <c r="F33" s="235"/>
      <c r="G33" s="232"/>
      <c r="H33" s="235"/>
    </row>
    <row r="34" spans="1:8" s="4" customFormat="1" ht="13.5" customHeight="1" thickBot="1" x14ac:dyDescent="0.25">
      <c r="A34" s="249"/>
      <c r="B34" s="243"/>
      <c r="C34" s="246"/>
      <c r="D34" s="240"/>
      <c r="E34" s="233"/>
      <c r="F34" s="236"/>
      <c r="G34" s="233"/>
      <c r="H34" s="236"/>
    </row>
    <row r="35" spans="1:8" s="143" customFormat="1" ht="32.25" customHeight="1" thickTop="1" x14ac:dyDescent="0.25">
      <c r="A35" s="127">
        <v>16</v>
      </c>
      <c r="B35" s="114" t="s">
        <v>45</v>
      </c>
      <c r="C35" s="115">
        <f>SUM(C36,C37,C38,C41,C42)</f>
        <v>1633793</v>
      </c>
      <c r="D35" s="115">
        <f>SUM(D36,D37,D38,D41,D42)</f>
        <v>0</v>
      </c>
      <c r="E35" s="115">
        <f>SUM(E36,E37,E38,E41,E42)</f>
        <v>1620207.65</v>
      </c>
      <c r="F35" s="142">
        <f t="shared" ref="F35" si="7">E35/C35*100</f>
        <v>99.168477891630076</v>
      </c>
      <c r="G35" s="115">
        <f>SUM(G36:G38,G41:G42)</f>
        <v>1552140.0674999999</v>
      </c>
      <c r="H35" s="139">
        <f t="shared" ref="H35:H55" si="8">G35/E35*100</f>
        <v>95.798835877611126</v>
      </c>
    </row>
    <row r="36" spans="1:8" s="41" customFormat="1" ht="16.5" customHeight="1" x14ac:dyDescent="0.25">
      <c r="A36" s="95">
        <v>17</v>
      </c>
      <c r="B36" s="109" t="s">
        <v>48</v>
      </c>
      <c r="C36" s="111">
        <f>1639087-211375-788387-30000-121584-5294</f>
        <v>482447</v>
      </c>
      <c r="D36" s="112"/>
      <c r="E36" s="111">
        <f>C36*0.95</f>
        <v>458324.64999999997</v>
      </c>
      <c r="F36" s="113">
        <f t="shared" ref="F36:F54" si="9">E36/C36*100</f>
        <v>95</v>
      </c>
      <c r="G36" s="111">
        <f>E36*0.95</f>
        <v>435408.41749999992</v>
      </c>
      <c r="H36" s="113">
        <f t="shared" si="8"/>
        <v>95</v>
      </c>
    </row>
    <row r="37" spans="1:8" s="41" customFormat="1" ht="16.5" customHeight="1" x14ac:dyDescent="0.25">
      <c r="A37" s="95">
        <v>18</v>
      </c>
      <c r="B37" s="109" t="s">
        <v>49</v>
      </c>
      <c r="C37" s="111">
        <v>211375</v>
      </c>
      <c r="D37" s="112"/>
      <c r="E37" s="111">
        <f>C37</f>
        <v>211375</v>
      </c>
      <c r="F37" s="113">
        <f t="shared" si="9"/>
        <v>100</v>
      </c>
      <c r="G37" s="111">
        <f>E37</f>
        <v>211375</v>
      </c>
      <c r="H37" s="113">
        <f t="shared" si="8"/>
        <v>100</v>
      </c>
    </row>
    <row r="38" spans="1:8" s="41" customFormat="1" ht="16.5" customHeight="1" x14ac:dyDescent="0.25">
      <c r="A38" s="95">
        <v>19</v>
      </c>
      <c r="B38" s="109" t="s">
        <v>50</v>
      </c>
      <c r="C38" s="111">
        <f>SUM(C39:C40)</f>
        <v>788387</v>
      </c>
      <c r="D38" s="112"/>
      <c r="E38" s="111">
        <f>SUM(E39:E40)</f>
        <v>788387</v>
      </c>
      <c r="F38" s="113">
        <f t="shared" si="9"/>
        <v>100</v>
      </c>
      <c r="G38" s="111">
        <f>SUM(G39:G40)</f>
        <v>748967.64999999991</v>
      </c>
      <c r="H38" s="113">
        <f t="shared" si="8"/>
        <v>94.999999999999986</v>
      </c>
    </row>
    <row r="39" spans="1:8" s="17" customFormat="1" ht="16.5" customHeight="1" x14ac:dyDescent="0.2">
      <c r="A39" s="95">
        <v>20</v>
      </c>
      <c r="B39" s="76" t="s">
        <v>34</v>
      </c>
      <c r="C39" s="121">
        <v>370372</v>
      </c>
      <c r="D39" s="122"/>
      <c r="E39" s="121">
        <f>C39</f>
        <v>370372</v>
      </c>
      <c r="F39" s="123">
        <f t="shared" si="9"/>
        <v>100</v>
      </c>
      <c r="G39" s="121">
        <f>E39*0.95</f>
        <v>351853.39999999997</v>
      </c>
      <c r="H39" s="123">
        <f t="shared" si="8"/>
        <v>95</v>
      </c>
    </row>
    <row r="40" spans="1:8" s="17" customFormat="1" ht="16.5" customHeight="1" x14ac:dyDescent="0.2">
      <c r="A40" s="95">
        <v>21</v>
      </c>
      <c r="B40" s="76" t="s">
        <v>35</v>
      </c>
      <c r="C40" s="121">
        <v>418015</v>
      </c>
      <c r="D40" s="122"/>
      <c r="E40" s="121">
        <f>C40</f>
        <v>418015</v>
      </c>
      <c r="F40" s="123">
        <f t="shared" si="9"/>
        <v>100</v>
      </c>
      <c r="G40" s="121">
        <f>E40*0.95</f>
        <v>397114.25</v>
      </c>
      <c r="H40" s="123">
        <f t="shared" si="8"/>
        <v>95</v>
      </c>
    </row>
    <row r="41" spans="1:8" s="41" customFormat="1" ht="16.5" customHeight="1" x14ac:dyDescent="0.25">
      <c r="A41" s="95">
        <v>22</v>
      </c>
      <c r="B41" s="109" t="s">
        <v>51</v>
      </c>
      <c r="C41" s="111">
        <v>30000</v>
      </c>
      <c r="D41" s="112"/>
      <c r="E41" s="111">
        <f>C41</f>
        <v>30000</v>
      </c>
      <c r="F41" s="113">
        <f t="shared" si="9"/>
        <v>100</v>
      </c>
      <c r="G41" s="111">
        <f>E41</f>
        <v>30000</v>
      </c>
      <c r="H41" s="113">
        <f t="shared" si="8"/>
        <v>100</v>
      </c>
    </row>
    <row r="42" spans="1:8" s="41" customFormat="1" ht="16.5" customHeight="1" x14ac:dyDescent="0.25">
      <c r="A42" s="95">
        <v>23</v>
      </c>
      <c r="B42" s="109" t="s">
        <v>52</v>
      </c>
      <c r="C42" s="111">
        <f>SUM(C43:C45)</f>
        <v>121584</v>
      </c>
      <c r="D42" s="111">
        <f>SUM(D43:D45)</f>
        <v>0</v>
      </c>
      <c r="E42" s="111">
        <f>SUM(E43:E45)</f>
        <v>132121</v>
      </c>
      <c r="F42" s="113">
        <f t="shared" si="9"/>
        <v>108.66643637320701</v>
      </c>
      <c r="G42" s="111">
        <f>SUM(G43:G45)</f>
        <v>126389</v>
      </c>
      <c r="H42" s="113">
        <f t="shared" si="8"/>
        <v>95.661552667630431</v>
      </c>
    </row>
    <row r="43" spans="1:8" s="17" customFormat="1" ht="16.5" customHeight="1" x14ac:dyDescent="0.2">
      <c r="A43" s="95">
        <v>24</v>
      </c>
      <c r="B43" s="77" t="s">
        <v>53</v>
      </c>
      <c r="C43" s="121">
        <v>18838</v>
      </c>
      <c r="D43" s="122"/>
      <c r="E43" s="121">
        <v>22422</v>
      </c>
      <c r="F43" s="123">
        <f t="shared" si="9"/>
        <v>119.02537424355026</v>
      </c>
      <c r="G43" s="121">
        <v>21069</v>
      </c>
      <c r="H43" s="123">
        <f t="shared" si="8"/>
        <v>93.965747926143962</v>
      </c>
    </row>
    <row r="44" spans="1:8" s="17" customFormat="1" ht="16.5" customHeight="1" x14ac:dyDescent="0.2">
      <c r="A44" s="95">
        <v>25</v>
      </c>
      <c r="B44" s="77" t="s">
        <v>41</v>
      </c>
      <c r="C44" s="121">
        <v>81514</v>
      </c>
      <c r="D44" s="122"/>
      <c r="E44" s="121">
        <v>90318</v>
      </c>
      <c r="F44" s="123">
        <f t="shared" si="9"/>
        <v>110.80059867016709</v>
      </c>
      <c r="G44" s="121">
        <v>88006</v>
      </c>
      <c r="H44" s="123">
        <f t="shared" si="8"/>
        <v>97.440155893620314</v>
      </c>
    </row>
    <row r="45" spans="1:8" s="17" customFormat="1" ht="16.5" customHeight="1" x14ac:dyDescent="0.2">
      <c r="A45" s="95">
        <v>26</v>
      </c>
      <c r="B45" s="77" t="s">
        <v>38</v>
      </c>
      <c r="C45" s="121">
        <v>21232</v>
      </c>
      <c r="D45" s="122"/>
      <c r="E45" s="121">
        <v>19381</v>
      </c>
      <c r="F45" s="123">
        <f t="shared" si="9"/>
        <v>91.282027128862097</v>
      </c>
      <c r="G45" s="121">
        <v>17314</v>
      </c>
      <c r="H45" s="123">
        <f t="shared" si="8"/>
        <v>89.334915639027912</v>
      </c>
    </row>
    <row r="46" spans="1:8" s="133" customFormat="1" ht="15" customHeight="1" x14ac:dyDescent="0.2">
      <c r="A46" s="144">
        <v>27</v>
      </c>
      <c r="B46" s="145" t="s">
        <v>20</v>
      </c>
      <c r="C46" s="115">
        <f>SUM(C47:C50)</f>
        <v>1539290</v>
      </c>
      <c r="D46" s="116">
        <f>SUM(D47:D48)</f>
        <v>1354082</v>
      </c>
      <c r="E46" s="115">
        <f>SUM(E47:E50)</f>
        <v>1481893.95</v>
      </c>
      <c r="F46" s="139">
        <f t="shared" si="9"/>
        <v>96.271264673973064</v>
      </c>
      <c r="G46" s="115">
        <f>SUM(G47:G50)</f>
        <v>1427367.7024999999</v>
      </c>
      <c r="H46" s="139">
        <f t="shared" si="8"/>
        <v>96.320502725583026</v>
      </c>
    </row>
    <row r="47" spans="1:8" s="41" customFormat="1" ht="16.5" customHeight="1" x14ac:dyDescent="0.25">
      <c r="A47" s="95">
        <v>28</v>
      </c>
      <c r="B47" s="109" t="s">
        <v>55</v>
      </c>
      <c r="C47" s="111">
        <f>314584+224610+387157+47970+173000+300+300</f>
        <v>1147921</v>
      </c>
      <c r="D47" s="112">
        <f>1147412</f>
        <v>1147412</v>
      </c>
      <c r="E47" s="111">
        <f>C47*0.95</f>
        <v>1090524.95</v>
      </c>
      <c r="F47" s="113">
        <f t="shared" si="9"/>
        <v>95</v>
      </c>
      <c r="G47" s="111">
        <f>E47*0.95</f>
        <v>1035998.7024999999</v>
      </c>
      <c r="H47" s="113">
        <f t="shared" si="8"/>
        <v>95</v>
      </c>
    </row>
    <row r="48" spans="1:8" s="41" customFormat="1" ht="16.5" customHeight="1" x14ac:dyDescent="0.25">
      <c r="A48" s="95">
        <v>29</v>
      </c>
      <c r="B48" s="109" t="s">
        <v>56</v>
      </c>
      <c r="C48" s="111">
        <f>725+4766+62866+34200</f>
        <v>102557</v>
      </c>
      <c r="D48" s="112">
        <v>206670</v>
      </c>
      <c r="E48" s="111">
        <f>C48</f>
        <v>102557</v>
      </c>
      <c r="F48" s="113">
        <f t="shared" si="9"/>
        <v>100</v>
      </c>
      <c r="G48" s="111">
        <f t="shared" ref="G48:G50" si="10">E48</f>
        <v>102557</v>
      </c>
      <c r="H48" s="113">
        <f t="shared" si="8"/>
        <v>100</v>
      </c>
    </row>
    <row r="49" spans="1:8" s="41" customFormat="1" ht="16.5" customHeight="1" x14ac:dyDescent="0.25">
      <c r="A49" s="95">
        <v>30</v>
      </c>
      <c r="B49" s="109" t="s">
        <v>57</v>
      </c>
      <c r="C49" s="111">
        <f>86595+31636+128130+13041+19659</f>
        <v>279061</v>
      </c>
      <c r="D49" s="112"/>
      <c r="E49" s="111">
        <f>C49</f>
        <v>279061</v>
      </c>
      <c r="F49" s="113">
        <f t="shared" si="9"/>
        <v>100</v>
      </c>
      <c r="G49" s="111">
        <f t="shared" si="10"/>
        <v>279061</v>
      </c>
      <c r="H49" s="113">
        <f t="shared" si="8"/>
        <v>100</v>
      </c>
    </row>
    <row r="50" spans="1:8" s="41" customFormat="1" ht="16.5" customHeight="1" x14ac:dyDescent="0.25">
      <c r="A50" s="95">
        <v>31</v>
      </c>
      <c r="B50" s="109" t="s">
        <v>58</v>
      </c>
      <c r="C50" s="111">
        <f>95+1602+2698+5356</f>
        <v>9751</v>
      </c>
      <c r="D50" s="112"/>
      <c r="E50" s="111">
        <f>C50</f>
        <v>9751</v>
      </c>
      <c r="F50" s="113">
        <f t="shared" si="9"/>
        <v>100</v>
      </c>
      <c r="G50" s="111">
        <f t="shared" si="10"/>
        <v>9751</v>
      </c>
      <c r="H50" s="113">
        <f t="shared" si="8"/>
        <v>100</v>
      </c>
    </row>
    <row r="51" spans="1:8" s="143" customFormat="1" ht="16.5" customHeight="1" x14ac:dyDescent="0.25">
      <c r="A51" s="144">
        <v>32</v>
      </c>
      <c r="B51" s="114" t="s">
        <v>59</v>
      </c>
      <c r="C51" s="115">
        <v>58494</v>
      </c>
      <c r="D51" s="116"/>
      <c r="E51" s="115">
        <f>35000+12330</f>
        <v>47330</v>
      </c>
      <c r="F51" s="117">
        <f t="shared" si="9"/>
        <v>80.914281806681032</v>
      </c>
      <c r="G51" s="115">
        <f>45000+2535</f>
        <v>47535</v>
      </c>
      <c r="H51" s="117">
        <f t="shared" si="8"/>
        <v>100.43312909359814</v>
      </c>
    </row>
    <row r="52" spans="1:8" s="143" customFormat="1" ht="16.5" customHeight="1" x14ac:dyDescent="0.25">
      <c r="A52" s="144">
        <v>33</v>
      </c>
      <c r="B52" s="114" t="s">
        <v>21</v>
      </c>
      <c r="C52" s="115">
        <v>5300</v>
      </c>
      <c r="D52" s="116">
        <v>6428</v>
      </c>
      <c r="E52" s="115">
        <f>C52</f>
        <v>5300</v>
      </c>
      <c r="F52" s="117">
        <f t="shared" si="9"/>
        <v>100</v>
      </c>
      <c r="G52" s="115">
        <f>E52</f>
        <v>5300</v>
      </c>
      <c r="H52" s="117">
        <f t="shared" si="8"/>
        <v>100</v>
      </c>
    </row>
    <row r="53" spans="1:8" s="143" customFormat="1" ht="15" x14ac:dyDescent="0.25">
      <c r="A53" s="144">
        <v>34</v>
      </c>
      <c r="B53" s="114" t="s">
        <v>22</v>
      </c>
      <c r="C53" s="118">
        <v>40000</v>
      </c>
      <c r="D53" s="119">
        <v>70000</v>
      </c>
      <c r="E53" s="118">
        <v>40000</v>
      </c>
      <c r="F53" s="117">
        <f t="shared" si="9"/>
        <v>100</v>
      </c>
      <c r="G53" s="118">
        <f>E53</f>
        <v>40000</v>
      </c>
      <c r="H53" s="117">
        <f t="shared" si="8"/>
        <v>100</v>
      </c>
    </row>
    <row r="54" spans="1:8" s="133" customFormat="1" ht="27.75" customHeight="1" x14ac:dyDescent="0.2">
      <c r="A54" s="144">
        <v>35</v>
      </c>
      <c r="B54" s="114" t="s">
        <v>65</v>
      </c>
      <c r="C54" s="115">
        <f>SUM(C55:C60)</f>
        <v>541851</v>
      </c>
      <c r="D54" s="116">
        <f>SUM(D55:D60)</f>
        <v>102158</v>
      </c>
      <c r="E54" s="115">
        <f>SUM(E55:E60)</f>
        <v>208160</v>
      </c>
      <c r="F54" s="120">
        <f t="shared" si="9"/>
        <v>38.416465042973073</v>
      </c>
      <c r="G54" s="115">
        <f>SUM(G55:G60)</f>
        <v>307111</v>
      </c>
      <c r="H54" s="193">
        <f t="shared" si="8"/>
        <v>147.53602997694082</v>
      </c>
    </row>
    <row r="55" spans="1:8" s="42" customFormat="1" ht="14.25" customHeight="1" x14ac:dyDescent="0.2">
      <c r="A55" s="95">
        <v>36</v>
      </c>
      <c r="B55" s="124" t="s">
        <v>60</v>
      </c>
      <c r="C55" s="125">
        <f>15782+113942</f>
        <v>129724</v>
      </c>
      <c r="D55" s="126">
        <f>44675+57483</f>
        <v>102158</v>
      </c>
      <c r="E55" s="224">
        <v>180281</v>
      </c>
      <c r="F55" s="226">
        <f>E55/(C55+C56+C57+C58+C59)*100</f>
        <v>35.076035270403835</v>
      </c>
      <c r="G55" s="224">
        <v>279232</v>
      </c>
      <c r="H55" s="226">
        <f t="shared" si="8"/>
        <v>154.88709292715262</v>
      </c>
    </row>
    <row r="56" spans="1:8" s="42" customFormat="1" ht="14.25" customHeight="1" x14ac:dyDescent="0.2">
      <c r="A56" s="95">
        <v>37</v>
      </c>
      <c r="B56" s="124" t="s">
        <v>61</v>
      </c>
      <c r="C56" s="125">
        <f>42971+121928+80000</f>
        <v>244899</v>
      </c>
      <c r="D56" s="126"/>
      <c r="E56" s="225"/>
      <c r="F56" s="227"/>
      <c r="G56" s="225"/>
      <c r="H56" s="227"/>
    </row>
    <row r="57" spans="1:8" s="42" customFormat="1" ht="14.25" customHeight="1" x14ac:dyDescent="0.2">
      <c r="A57" s="95">
        <v>38</v>
      </c>
      <c r="B57" s="124" t="s">
        <v>62</v>
      </c>
      <c r="C57" s="125">
        <v>115479</v>
      </c>
      <c r="D57" s="126"/>
      <c r="E57" s="225"/>
      <c r="F57" s="227"/>
      <c r="G57" s="225"/>
      <c r="H57" s="227"/>
    </row>
    <row r="58" spans="1:8" s="42" customFormat="1" ht="14.25" customHeight="1" x14ac:dyDescent="0.2">
      <c r="A58" s="95">
        <v>39</v>
      </c>
      <c r="B58" s="124" t="s">
        <v>63</v>
      </c>
      <c r="C58" s="125">
        <v>15870</v>
      </c>
      <c r="D58" s="126"/>
      <c r="E58" s="225"/>
      <c r="F58" s="227"/>
      <c r="G58" s="225"/>
      <c r="H58" s="227"/>
    </row>
    <row r="59" spans="1:8" s="42" customFormat="1" ht="14.25" customHeight="1" x14ac:dyDescent="0.2">
      <c r="A59" s="95">
        <v>40</v>
      </c>
      <c r="B59" s="124" t="s">
        <v>64</v>
      </c>
      <c r="C59" s="125">
        <v>8000</v>
      </c>
      <c r="D59" s="126"/>
      <c r="E59" s="225"/>
      <c r="F59" s="227"/>
      <c r="G59" s="225"/>
      <c r="H59" s="227"/>
    </row>
    <row r="60" spans="1:8" s="42" customFormat="1" ht="14.25" customHeight="1" thickBot="1" x14ac:dyDescent="0.25">
      <c r="A60" s="95">
        <v>41</v>
      </c>
      <c r="B60" s="124" t="s">
        <v>71</v>
      </c>
      <c r="C60" s="125">
        <v>27879</v>
      </c>
      <c r="D60" s="126"/>
      <c r="E60" s="125">
        <v>27879</v>
      </c>
      <c r="F60" s="113">
        <f t="shared" ref="F60" si="11">E60/C60*100</f>
        <v>100</v>
      </c>
      <c r="G60" s="125">
        <v>27879</v>
      </c>
      <c r="H60" s="113">
        <f>G60/E60*100</f>
        <v>100</v>
      </c>
    </row>
    <row r="61" spans="1:8" s="9" customFormat="1" ht="14.25" hidden="1" customHeight="1" x14ac:dyDescent="0.2">
      <c r="A61" s="94">
        <v>33</v>
      </c>
      <c r="B61" s="77" t="s">
        <v>23</v>
      </c>
      <c r="C61" s="37">
        <f>19934+70030</f>
        <v>89964</v>
      </c>
      <c r="D61" s="82">
        <f>2000+62847+7246+1610+96745</f>
        <v>170448</v>
      </c>
      <c r="E61" s="89"/>
      <c r="F61" s="34"/>
      <c r="G61" s="89"/>
      <c r="H61" s="34"/>
    </row>
    <row r="62" spans="1:8" s="9" customFormat="1" ht="14.25" hidden="1" customHeight="1" x14ac:dyDescent="0.2">
      <c r="A62" s="95">
        <v>34</v>
      </c>
      <c r="B62" s="77" t="s">
        <v>24</v>
      </c>
      <c r="C62" s="37">
        <f>38943+68823</f>
        <v>107766</v>
      </c>
      <c r="D62" s="82">
        <f>11790+64690</f>
        <v>76480</v>
      </c>
      <c r="E62" s="89"/>
      <c r="F62" s="102"/>
      <c r="G62" s="89"/>
      <c r="H62" s="34"/>
    </row>
    <row r="63" spans="1:8" s="9" customFormat="1" ht="14.25" hidden="1" customHeight="1" x14ac:dyDescent="0.2">
      <c r="A63" s="94">
        <v>35</v>
      </c>
      <c r="B63" s="77" t="s">
        <v>25</v>
      </c>
      <c r="C63" s="37">
        <f>8500+29740-40</f>
        <v>38200</v>
      </c>
      <c r="D63" s="82">
        <f>34847+325+550+34651</f>
        <v>70373</v>
      </c>
      <c r="E63" s="105"/>
      <c r="F63" s="103"/>
      <c r="G63" s="91"/>
      <c r="H63" s="92"/>
    </row>
    <row r="64" spans="1:8" s="9" customFormat="1" ht="14.25" hidden="1" customHeight="1" x14ac:dyDescent="0.2">
      <c r="A64" s="95">
        <v>36</v>
      </c>
      <c r="B64" s="77" t="s">
        <v>26</v>
      </c>
      <c r="C64" s="37">
        <f>62088+200000+120479+141419</f>
        <v>523986</v>
      </c>
      <c r="D64" s="82">
        <f>106635+17950+10300+178800</f>
        <v>313685</v>
      </c>
      <c r="E64" s="105"/>
      <c r="F64" s="103"/>
      <c r="G64" s="90"/>
      <c r="H64" s="34"/>
    </row>
    <row r="65" spans="1:8" s="9" customFormat="1" ht="14.25" hidden="1" customHeight="1" x14ac:dyDescent="0.2">
      <c r="A65" s="94">
        <v>37</v>
      </c>
      <c r="B65" s="77" t="s">
        <v>37</v>
      </c>
      <c r="C65" s="37"/>
      <c r="D65" s="82"/>
      <c r="E65" s="106">
        <v>30435</v>
      </c>
      <c r="F65" s="104"/>
      <c r="G65" s="101">
        <v>30435</v>
      </c>
      <c r="H65" s="34"/>
    </row>
    <row r="66" spans="1:8" s="9" customFormat="1" ht="14.25" hidden="1" customHeight="1" x14ac:dyDescent="0.2">
      <c r="A66" s="95">
        <v>38</v>
      </c>
      <c r="B66" s="77" t="s">
        <v>27</v>
      </c>
      <c r="C66" s="37">
        <f>3612+2088+12610+16420-6970</f>
        <v>27760</v>
      </c>
      <c r="D66" s="82">
        <f>37712+960+26780</f>
        <v>65452</v>
      </c>
      <c r="E66" s="89"/>
      <c r="F66" s="34"/>
      <c r="G66" s="89"/>
      <c r="H66" s="34"/>
    </row>
    <row r="67" spans="1:8" s="9" customFormat="1" ht="14.25" hidden="1" customHeight="1" x14ac:dyDescent="0.2">
      <c r="A67" s="94">
        <v>39</v>
      </c>
      <c r="B67" s="77" t="s">
        <v>31</v>
      </c>
      <c r="C67" s="37">
        <f>15043+11783</f>
        <v>26826</v>
      </c>
      <c r="D67" s="82">
        <f>1595+23643</f>
        <v>25238</v>
      </c>
      <c r="E67" s="37">
        <v>26826</v>
      </c>
      <c r="F67" s="34">
        <f>E67/C67*100</f>
        <v>100</v>
      </c>
      <c r="G67" s="37">
        <v>26826</v>
      </c>
      <c r="H67" s="34">
        <f>G67/E67*100</f>
        <v>100</v>
      </c>
    </row>
    <row r="68" spans="1:8" s="9" customFormat="1" ht="14.25" hidden="1" customHeight="1" x14ac:dyDescent="0.2">
      <c r="A68" s="95">
        <v>40</v>
      </c>
      <c r="B68" s="77" t="s">
        <v>28</v>
      </c>
      <c r="C68" s="37">
        <f>2300+2588+4500</f>
        <v>9388</v>
      </c>
      <c r="D68" s="82">
        <f>7000+2000+3800</f>
        <v>12800</v>
      </c>
      <c r="E68" s="37"/>
      <c r="F68" s="34">
        <f>E68/C68*100</f>
        <v>0</v>
      </c>
      <c r="G68" s="37"/>
      <c r="H68" s="34"/>
    </row>
    <row r="69" spans="1:8" s="9" customFormat="1" ht="14.25" hidden="1" customHeight="1" x14ac:dyDescent="0.2">
      <c r="A69" s="94">
        <v>41</v>
      </c>
      <c r="B69" s="77" t="s">
        <v>39</v>
      </c>
      <c r="C69" s="37">
        <v>290</v>
      </c>
      <c r="D69" s="82"/>
      <c r="E69" s="37">
        <v>370556</v>
      </c>
      <c r="F69" s="34"/>
      <c r="G69" s="37">
        <v>149855</v>
      </c>
      <c r="H69" s="34">
        <f>G69/E69*100</f>
        <v>40.440581180712229</v>
      </c>
    </row>
    <row r="70" spans="1:8" s="52" customFormat="1" ht="26.25" customHeight="1" thickTop="1" thickBot="1" x14ac:dyDescent="0.25">
      <c r="A70" s="97">
        <v>42</v>
      </c>
      <c r="B70" s="53" t="s">
        <v>6</v>
      </c>
      <c r="C70" s="54">
        <f>SUM(C35,C46,C51:C54)</f>
        <v>3818728</v>
      </c>
      <c r="D70" s="54">
        <f>SUM(D35,D46,D51:D54)</f>
        <v>1532668</v>
      </c>
      <c r="E70" s="54">
        <f>SUM(E35,E46,E51:E54)</f>
        <v>3402891.5999999996</v>
      </c>
      <c r="F70" s="72">
        <f>E70/C70*100</f>
        <v>89.110604368784578</v>
      </c>
      <c r="G70" s="54">
        <f>SUM(G35,G46,G51:G54)</f>
        <v>3379453.7699999996</v>
      </c>
      <c r="H70" s="72">
        <f>G70/E70*100</f>
        <v>99.311237830790731</v>
      </c>
    </row>
    <row r="71" spans="1:8" s="14" customFormat="1" ht="13.5" hidden="1" customHeight="1" thickTop="1" x14ac:dyDescent="0.2">
      <c r="B71" s="10"/>
      <c r="C71" s="12" t="e">
        <f>-SUM(#REF!)</f>
        <v>#REF!</v>
      </c>
      <c r="D71" s="12">
        <f>-SUM(D88)</f>
        <v>45111</v>
      </c>
      <c r="E71" s="12">
        <f>-SUM(E88)</f>
        <v>176968</v>
      </c>
      <c r="F71" s="47">
        <f>-SUM(F88)</f>
        <v>-147.68748017959373</v>
      </c>
      <c r="G71" s="12">
        <f>-SUM(G88)</f>
        <v>200777</v>
      </c>
      <c r="H71" s="47">
        <f>-SUM(H88)</f>
        <v>-113.45384476289499</v>
      </c>
    </row>
    <row r="72" spans="1:8" s="26" customFormat="1" ht="13.5" hidden="1" customHeight="1" x14ac:dyDescent="0.2">
      <c r="B72" s="25"/>
      <c r="C72" s="21" t="e">
        <f>SUM(C71:C71)</f>
        <v>#REF!</v>
      </c>
      <c r="D72" s="12">
        <f>SUM(D70:D71)</f>
        <v>1577779</v>
      </c>
      <c r="E72" s="21">
        <f>SUM(E70:E71)</f>
        <v>3579859.5999999996</v>
      </c>
      <c r="F72" s="48">
        <f>SUM(F70:F71)</f>
        <v>-58.576875810809156</v>
      </c>
      <c r="G72" s="21">
        <f>SUM(G70:G71)</f>
        <v>3580230.7699999996</v>
      </c>
      <c r="H72" s="48">
        <f>SUM(H70:H71)</f>
        <v>-14.142606932104258</v>
      </c>
    </row>
    <row r="73" spans="1:8" s="26" customFormat="1" ht="13.5" hidden="1" customHeight="1" x14ac:dyDescent="0.2">
      <c r="B73" s="25"/>
      <c r="C73" s="21" t="e">
        <f>-SUM(#REF!)</f>
        <v>#REF!</v>
      </c>
      <c r="D73" s="12" t="e">
        <f>-SUM(#REF!)</f>
        <v>#REF!</v>
      </c>
      <c r="E73" s="21" t="e">
        <f>-SUM(#REF!)</f>
        <v>#REF!</v>
      </c>
      <c r="F73" s="48" t="e">
        <f>-SUM(#REF!)</f>
        <v>#REF!</v>
      </c>
      <c r="G73" s="21" t="e">
        <f>-SUM(#REF!)</f>
        <v>#REF!</v>
      </c>
      <c r="H73" s="21" t="e">
        <f>-SUM(#REF!)</f>
        <v>#REF!</v>
      </c>
    </row>
    <row r="74" spans="1:8" s="23" customFormat="1" ht="13.5" hidden="1" customHeight="1" x14ac:dyDescent="0.2">
      <c r="B74" s="25"/>
      <c r="C74" s="21" t="e">
        <f t="shared" ref="C74:H74" si="12">SUM(C72:C73)</f>
        <v>#REF!</v>
      </c>
      <c r="D74" s="12" t="e">
        <f t="shared" si="12"/>
        <v>#REF!</v>
      </c>
      <c r="E74" s="21" t="e">
        <f t="shared" si="12"/>
        <v>#REF!</v>
      </c>
      <c r="F74" s="48" t="e">
        <f t="shared" si="12"/>
        <v>#REF!</v>
      </c>
      <c r="G74" s="21" t="e">
        <f t="shared" si="12"/>
        <v>#REF!</v>
      </c>
      <c r="H74" s="21" t="e">
        <f t="shared" si="12"/>
        <v>#REF!</v>
      </c>
    </row>
    <row r="75" spans="1:8" s="23" customFormat="1" ht="13.5" hidden="1" customHeight="1" x14ac:dyDescent="0.2">
      <c r="B75" s="25"/>
      <c r="C75" s="21" t="e">
        <f>-SUM(#REF!)</f>
        <v>#REF!</v>
      </c>
      <c r="D75" s="12" t="e">
        <f>-SUM(#REF!)</f>
        <v>#REF!</v>
      </c>
      <c r="E75" s="21" t="e">
        <f>-SUM(#REF!)</f>
        <v>#REF!</v>
      </c>
      <c r="F75" s="21" t="e">
        <f>-SUM(#REF!)</f>
        <v>#REF!</v>
      </c>
      <c r="G75" s="21" t="e">
        <f>-SUM(#REF!)</f>
        <v>#REF!</v>
      </c>
      <c r="H75" s="21" t="e">
        <f>-SUM(#REF!)</f>
        <v>#REF!</v>
      </c>
    </row>
    <row r="76" spans="1:8" s="23" customFormat="1" ht="13.5" hidden="1" customHeight="1" x14ac:dyDescent="0.2">
      <c r="B76" s="25"/>
      <c r="C76" s="21" t="e">
        <f>-SUM(#REF!)</f>
        <v>#REF!</v>
      </c>
      <c r="D76" s="12">
        <f>-SUM(D60:D60)</f>
        <v>0</v>
      </c>
      <c r="E76" s="21" t="e">
        <f>-SUM(E60:E60)-#REF!</f>
        <v>#REF!</v>
      </c>
      <c r="F76" s="21" t="e">
        <f>-SUM(F60:F60)-#REF!</f>
        <v>#REF!</v>
      </c>
      <c r="G76" s="21" t="e">
        <f>-SUM(G60:G60)-#REF!</f>
        <v>#REF!</v>
      </c>
      <c r="H76" s="21" t="e">
        <f>-SUM(H60:H60)-#REF!</f>
        <v>#REF!</v>
      </c>
    </row>
    <row r="77" spans="1:8" s="28" customFormat="1" ht="13.5" hidden="1" customHeight="1" x14ac:dyDescent="0.2">
      <c r="B77" s="27"/>
      <c r="C77" s="20" t="e">
        <f>SUM(C74:C76)</f>
        <v>#REF!</v>
      </c>
      <c r="D77" s="12" t="e">
        <f>SUM(D74:D76)</f>
        <v>#REF!</v>
      </c>
      <c r="E77" s="20" t="e">
        <f>SUM(E74:E76)</f>
        <v>#REF!</v>
      </c>
      <c r="F77" s="49" t="e">
        <f>SUM(F74:F75)</f>
        <v>#REF!</v>
      </c>
      <c r="G77" s="20" t="e">
        <f>SUM(G74:G76)-G90</f>
        <v>#REF!</v>
      </c>
      <c r="H77" s="20" t="e">
        <f>SUM(H74:H76)-H90</f>
        <v>#REF!</v>
      </c>
    </row>
    <row r="78" spans="1:8" s="28" customFormat="1" ht="13.5" customHeight="1" thickTop="1" x14ac:dyDescent="0.2">
      <c r="B78" s="27"/>
      <c r="C78" s="20"/>
      <c r="D78" s="12"/>
      <c r="E78" s="20"/>
      <c r="F78" s="49"/>
      <c r="G78" s="20"/>
      <c r="H78" s="20"/>
    </row>
    <row r="79" spans="1:8" s="7" customFormat="1" ht="13.5" customHeight="1" thickBot="1" x14ac:dyDescent="0.25">
      <c r="B79" s="10"/>
      <c r="C79" s="11"/>
      <c r="D79" s="12"/>
      <c r="E79" s="12"/>
      <c r="F79" s="13"/>
      <c r="G79" s="11"/>
      <c r="H79" s="13"/>
    </row>
    <row r="80" spans="1:8" s="42" customFormat="1" ht="17.100000000000001" customHeight="1" thickBot="1" x14ac:dyDescent="0.25">
      <c r="A80" s="200">
        <v>43</v>
      </c>
      <c r="B80" s="201" t="s">
        <v>8</v>
      </c>
      <c r="C80" s="202">
        <f>SUM(C21)</f>
        <v>3499677</v>
      </c>
      <c r="D80" s="203">
        <f>SUM(D21)</f>
        <v>1805422</v>
      </c>
      <c r="E80" s="202">
        <f>SUM(E21)</f>
        <v>3579860.003</v>
      </c>
      <c r="F80" s="204">
        <f>E80/C80*100</f>
        <v>102.29115438367597</v>
      </c>
      <c r="G80" s="202">
        <f>SUM(G21)</f>
        <v>3580231</v>
      </c>
      <c r="H80" s="205">
        <f>G80/E80*100</f>
        <v>100.01036344995865</v>
      </c>
    </row>
    <row r="81" spans="1:8" s="42" customFormat="1" ht="17.100000000000001" hidden="1" customHeight="1" thickTop="1" thickBot="1" x14ac:dyDescent="0.25">
      <c r="A81" s="206">
        <v>24</v>
      </c>
      <c r="B81" s="99" t="s">
        <v>7</v>
      </c>
      <c r="C81" s="61">
        <f>C21-C70</f>
        <v>-319051</v>
      </c>
      <c r="D81" s="85">
        <f>D21-D70</f>
        <v>272754</v>
      </c>
      <c r="E81" s="61">
        <f>E21-E70</f>
        <v>176968.4030000004</v>
      </c>
      <c r="F81" s="62">
        <f t="shared" ref="F81:F85" si="13">E81/C81*100</f>
        <v>-55.467120617080155</v>
      </c>
      <c r="G81" s="61">
        <f>G21-G70</f>
        <v>200777.23000000045</v>
      </c>
      <c r="H81" s="207">
        <f>G81/E81*100</f>
        <v>113.4537163676614</v>
      </c>
    </row>
    <row r="82" spans="1:8" s="42" customFormat="1" ht="17.100000000000001" customHeight="1" thickTop="1" thickBot="1" x14ac:dyDescent="0.25">
      <c r="A82" s="206">
        <v>44</v>
      </c>
      <c r="B82" s="98" t="s">
        <v>6</v>
      </c>
      <c r="C82" s="59">
        <f>SUM(C70)</f>
        <v>3818728</v>
      </c>
      <c r="D82" s="84">
        <f>SUM(D70)</f>
        <v>1532668</v>
      </c>
      <c r="E82" s="59">
        <f>E70</f>
        <v>3402891.5999999996</v>
      </c>
      <c r="F82" s="60">
        <f>E82/C82*100</f>
        <v>89.110604368784578</v>
      </c>
      <c r="G82" s="59">
        <f>G70</f>
        <v>3379453.7699999996</v>
      </c>
      <c r="H82" s="208">
        <f>G82/E82*100</f>
        <v>99.311237830790731</v>
      </c>
    </row>
    <row r="83" spans="1:8" s="42" customFormat="1" ht="16.5" customHeight="1" thickTop="1" thickBot="1" x14ac:dyDescent="0.25">
      <c r="A83" s="209">
        <v>45</v>
      </c>
      <c r="B83" s="157" t="s">
        <v>9</v>
      </c>
      <c r="C83" s="158">
        <f>SUM(C84,C85,C88)</f>
        <v>319051</v>
      </c>
      <c r="D83" s="159">
        <f>SUM(D85,D88)</f>
        <v>-45111</v>
      </c>
      <c r="E83" s="158">
        <f>SUM(E85,E88)</f>
        <v>-176968</v>
      </c>
      <c r="F83" s="160">
        <f>E83/C83*100</f>
        <v>-55.466994304985725</v>
      </c>
      <c r="G83" s="158">
        <f>SUM(G84:G85,G88)</f>
        <v>-200777</v>
      </c>
      <c r="H83" s="207">
        <f>G83/E83*100</f>
        <v>113.45384476289499</v>
      </c>
    </row>
    <row r="84" spans="1:8" s="143" customFormat="1" ht="38.25" customHeight="1" thickTop="1" x14ac:dyDescent="0.25">
      <c r="A84" s="210">
        <v>46</v>
      </c>
      <c r="B84" s="146" t="s">
        <v>30</v>
      </c>
      <c r="C84" s="147">
        <v>165000</v>
      </c>
      <c r="D84" s="148">
        <v>0</v>
      </c>
      <c r="E84" s="147">
        <v>0</v>
      </c>
      <c r="F84" s="152">
        <f t="shared" si="13"/>
        <v>0</v>
      </c>
      <c r="G84" s="147">
        <v>0</v>
      </c>
      <c r="H84" s="211">
        <v>0</v>
      </c>
    </row>
    <row r="85" spans="1:8" s="153" customFormat="1" ht="18" customHeight="1" x14ac:dyDescent="0.25">
      <c r="A85" s="212">
        <v>47</v>
      </c>
      <c r="B85" s="149" t="s">
        <v>29</v>
      </c>
      <c r="C85" s="150">
        <f>SUM(C86:C87)</f>
        <v>273877</v>
      </c>
      <c r="D85" s="151">
        <f>SUM(D86:D87)</f>
        <v>0</v>
      </c>
      <c r="E85" s="150">
        <f>SUM(E86:E87)</f>
        <v>0</v>
      </c>
      <c r="F85" s="152">
        <f t="shared" si="13"/>
        <v>0</v>
      </c>
      <c r="G85" s="150">
        <f>SUM(G86:G87)</f>
        <v>0</v>
      </c>
      <c r="H85" s="211">
        <f>G85/C85*100</f>
        <v>0</v>
      </c>
    </row>
    <row r="86" spans="1:8" s="18" customFormat="1" ht="18" customHeight="1" x14ac:dyDescent="0.2">
      <c r="A86" s="213">
        <v>48</v>
      </c>
      <c r="B86" s="100" t="s">
        <v>46</v>
      </c>
      <c r="C86" s="56">
        <v>5368</v>
      </c>
      <c r="D86" s="86"/>
      <c r="E86" s="56">
        <v>0</v>
      </c>
      <c r="F86" s="57">
        <v>0</v>
      </c>
      <c r="G86" s="56">
        <v>0</v>
      </c>
      <c r="H86" s="214">
        <v>0</v>
      </c>
    </row>
    <row r="87" spans="1:8" s="18" customFormat="1" ht="18" customHeight="1" x14ac:dyDescent="0.2">
      <c r="A87" s="215">
        <v>49</v>
      </c>
      <c r="B87" s="100" t="s">
        <v>43</v>
      </c>
      <c r="C87" s="56">
        <v>268509</v>
      </c>
      <c r="D87" s="86"/>
      <c r="E87" s="56">
        <v>0</v>
      </c>
      <c r="F87" s="57">
        <f>E87/C87*100</f>
        <v>0</v>
      </c>
      <c r="G87" s="56">
        <v>0</v>
      </c>
      <c r="H87" s="214">
        <v>0</v>
      </c>
    </row>
    <row r="88" spans="1:8" s="153" customFormat="1" ht="18" customHeight="1" x14ac:dyDescent="0.25">
      <c r="A88" s="216">
        <v>50</v>
      </c>
      <c r="B88" s="154" t="s">
        <v>42</v>
      </c>
      <c r="C88" s="150">
        <f>SUM(C89,C90,C104)</f>
        <v>-119826</v>
      </c>
      <c r="D88" s="155">
        <f>-SUM(D89:D90)</f>
        <v>-45111</v>
      </c>
      <c r="E88" s="156">
        <f>SUM(E89,E90,E104)</f>
        <v>-176968</v>
      </c>
      <c r="F88" s="152">
        <f>E88/C88*100</f>
        <v>147.68748017959373</v>
      </c>
      <c r="G88" s="156">
        <f>SUM(G89,G90,G104)</f>
        <v>-200777</v>
      </c>
      <c r="H88" s="211">
        <f>G88/E88*100</f>
        <v>113.45384476289499</v>
      </c>
    </row>
    <row r="89" spans="1:8" ht="18" customHeight="1" x14ac:dyDescent="0.2">
      <c r="A89" s="215">
        <v>51</v>
      </c>
      <c r="B89" s="100" t="s">
        <v>47</v>
      </c>
      <c r="C89" s="56">
        <v>-43634</v>
      </c>
      <c r="D89" s="87">
        <f>45111</f>
        <v>45111</v>
      </c>
      <c r="E89" s="58">
        <v>-43634</v>
      </c>
      <c r="F89" s="34">
        <f>E89/C89*100</f>
        <v>100</v>
      </c>
      <c r="G89" s="58">
        <v>-43634</v>
      </c>
      <c r="H89" s="217">
        <f>G89/E89*100</f>
        <v>100</v>
      </c>
    </row>
    <row r="90" spans="1:8" ht="18" customHeight="1" x14ac:dyDescent="0.2">
      <c r="A90" s="213">
        <v>52</v>
      </c>
      <c r="B90" s="110" t="s">
        <v>44</v>
      </c>
      <c r="C90" s="56">
        <v>-42858</v>
      </c>
      <c r="D90" s="86"/>
      <c r="E90" s="56">
        <v>-66667</v>
      </c>
      <c r="F90" s="34">
        <f>E90/C90*100</f>
        <v>155.55322226888794</v>
      </c>
      <c r="G90" s="56">
        <v>-90476</v>
      </c>
      <c r="H90" s="217">
        <f>G90/E90*100</f>
        <v>135.71332143339282</v>
      </c>
    </row>
    <row r="91" spans="1:8" s="55" customFormat="1" ht="14.25" hidden="1" x14ac:dyDescent="0.2">
      <c r="A91" s="215">
        <v>54</v>
      </c>
      <c r="B91" s="166"/>
      <c r="C91" s="167" t="e">
        <f>SUM(#REF!,#REF!)</f>
        <v>#REF!</v>
      </c>
      <c r="D91" s="168">
        <f>SUM(D21,D84:D85)</f>
        <v>1805422</v>
      </c>
      <c r="E91" s="167">
        <f>SUM(E21,E84:E85)</f>
        <v>3579860.003</v>
      </c>
      <c r="F91" s="167"/>
      <c r="G91" s="167">
        <f>SUM(G21,G84:G85)</f>
        <v>3580231</v>
      </c>
      <c r="H91" s="217" t="e">
        <f t="shared" ref="H91:H103" si="14">G91/C91*100</f>
        <v>#REF!</v>
      </c>
    </row>
    <row r="92" spans="1:8" s="55" customFormat="1" ht="14.25" hidden="1" x14ac:dyDescent="0.2">
      <c r="A92" s="213">
        <v>55</v>
      </c>
      <c r="B92" s="166"/>
      <c r="C92" s="167" t="e">
        <f>#REF!-#REF!</f>
        <v>#REF!</v>
      </c>
      <c r="D92" s="168">
        <f>D70-D88</f>
        <v>1577779</v>
      </c>
      <c r="E92" s="167">
        <f>E70-E88</f>
        <v>3579859.5999999996</v>
      </c>
      <c r="F92" s="167"/>
      <c r="G92" s="167">
        <f>G70-G88</f>
        <v>3580230.7699999996</v>
      </c>
      <c r="H92" s="217" t="e">
        <f t="shared" si="14"/>
        <v>#REF!</v>
      </c>
    </row>
    <row r="93" spans="1:8" ht="14.25" hidden="1" x14ac:dyDescent="0.2">
      <c r="A93" s="215">
        <v>56</v>
      </c>
      <c r="B93" s="169"/>
      <c r="C93" s="170"/>
      <c r="D93" s="171"/>
      <c r="E93" s="170"/>
      <c r="F93" s="50"/>
      <c r="G93" s="170"/>
      <c r="H93" s="217" t="e">
        <f t="shared" si="14"/>
        <v>#DIV/0!</v>
      </c>
    </row>
    <row r="94" spans="1:8" s="63" customFormat="1" ht="14.25" hidden="1" x14ac:dyDescent="0.2">
      <c r="A94" s="213">
        <v>57</v>
      </c>
      <c r="B94" s="172"/>
      <c r="C94" s="173">
        <f>521333</f>
        <v>521333</v>
      </c>
      <c r="D94" s="168">
        <f>521333</f>
        <v>521333</v>
      </c>
      <c r="E94" s="173">
        <v>82500</v>
      </c>
      <c r="F94" s="64"/>
      <c r="G94" s="173">
        <v>0</v>
      </c>
      <c r="H94" s="217">
        <f t="shared" si="14"/>
        <v>0</v>
      </c>
    </row>
    <row r="95" spans="1:8" s="65" customFormat="1" ht="14.25" hidden="1" x14ac:dyDescent="0.2">
      <c r="A95" s="215">
        <v>58</v>
      </c>
      <c r="B95" s="174"/>
      <c r="C95" s="175">
        <f>131496</f>
        <v>131496</v>
      </c>
      <c r="D95" s="168">
        <f>131496</f>
        <v>131496</v>
      </c>
      <c r="E95" s="175">
        <v>120042</v>
      </c>
      <c r="F95" s="66"/>
      <c r="G95" s="175">
        <f>120828+389250</f>
        <v>510078</v>
      </c>
      <c r="H95" s="217">
        <f t="shared" si="14"/>
        <v>387.90381456470158</v>
      </c>
    </row>
    <row r="96" spans="1:8" s="4" customFormat="1" ht="14.25" hidden="1" x14ac:dyDescent="0.2">
      <c r="A96" s="213">
        <v>59</v>
      </c>
      <c r="B96" s="176"/>
      <c r="C96" s="177"/>
      <c r="D96" s="168"/>
      <c r="E96" s="177"/>
      <c r="F96" s="67"/>
      <c r="G96" s="177"/>
      <c r="H96" s="217" t="e">
        <f t="shared" si="14"/>
        <v>#DIV/0!</v>
      </c>
    </row>
    <row r="97" spans="1:11" s="68" customFormat="1" ht="14.25" hidden="1" x14ac:dyDescent="0.2">
      <c r="A97" s="215">
        <v>60</v>
      </c>
      <c r="B97" s="178"/>
      <c r="C97" s="179">
        <v>0</v>
      </c>
      <c r="D97" s="180">
        <v>0</v>
      </c>
      <c r="E97" s="179">
        <v>0</v>
      </c>
      <c r="F97" s="69"/>
      <c r="G97" s="179">
        <f>338283-40940</f>
        <v>297343</v>
      </c>
      <c r="H97" s="217" t="e">
        <f t="shared" si="14"/>
        <v>#DIV/0!</v>
      </c>
    </row>
    <row r="98" spans="1:11" s="4" customFormat="1" ht="14.25" hidden="1" x14ac:dyDescent="0.2">
      <c r="A98" s="213">
        <v>61</v>
      </c>
      <c r="B98" s="176"/>
      <c r="C98" s="177"/>
      <c r="D98" s="168"/>
      <c r="E98" s="177"/>
      <c r="F98" s="67"/>
      <c r="G98" s="177"/>
      <c r="H98" s="217" t="e">
        <f t="shared" si="14"/>
        <v>#DIV/0!</v>
      </c>
    </row>
    <row r="99" spans="1:11" s="70" customFormat="1" ht="14.25" hidden="1" x14ac:dyDescent="0.2">
      <c r="A99" s="215">
        <v>62</v>
      </c>
      <c r="B99" s="181"/>
      <c r="C99" s="182">
        <v>0</v>
      </c>
      <c r="D99" s="183">
        <v>0</v>
      </c>
      <c r="E99" s="182">
        <v>0</v>
      </c>
      <c r="F99" s="71"/>
      <c r="G99" s="182">
        <v>0</v>
      </c>
      <c r="H99" s="217" t="e">
        <f t="shared" si="14"/>
        <v>#DIV/0!</v>
      </c>
    </row>
    <row r="100" spans="1:11" s="4" customFormat="1" ht="14.25" hidden="1" x14ac:dyDescent="0.2">
      <c r="A100" s="213">
        <v>63</v>
      </c>
      <c r="B100" s="176"/>
      <c r="C100" s="177"/>
      <c r="D100" s="168"/>
      <c r="E100" s="177"/>
      <c r="F100" s="67"/>
      <c r="G100" s="177">
        <f>SUM(G99,G97)</f>
        <v>297343</v>
      </c>
      <c r="H100" s="217" t="e">
        <f t="shared" si="14"/>
        <v>#DIV/0!</v>
      </c>
    </row>
    <row r="101" spans="1:11" s="4" customFormat="1" ht="14.25" hidden="1" x14ac:dyDescent="0.2">
      <c r="A101" s="215">
        <v>64</v>
      </c>
      <c r="B101" s="176"/>
      <c r="C101" s="177"/>
      <c r="D101" s="168"/>
      <c r="E101" s="177"/>
      <c r="F101" s="67"/>
      <c r="G101" s="177"/>
      <c r="H101" s="217" t="e">
        <f t="shared" si="14"/>
        <v>#DIV/0!</v>
      </c>
    </row>
    <row r="102" spans="1:11" s="4" customFormat="1" ht="14.25" hidden="1" x14ac:dyDescent="0.2">
      <c r="A102" s="213">
        <v>65</v>
      </c>
      <c r="B102" s="176"/>
      <c r="C102" s="177"/>
      <c r="D102" s="168"/>
      <c r="E102" s="177"/>
      <c r="F102" s="67"/>
      <c r="G102" s="177"/>
      <c r="H102" s="217" t="e">
        <f t="shared" si="14"/>
        <v>#DIV/0!</v>
      </c>
    </row>
    <row r="103" spans="1:11" ht="14.25" hidden="1" x14ac:dyDescent="0.2">
      <c r="A103" s="215">
        <v>66</v>
      </c>
      <c r="B103" s="169"/>
      <c r="C103" s="170"/>
      <c r="D103" s="171"/>
      <c r="E103" s="170"/>
      <c r="G103" s="177">
        <f>SUM(G90)</f>
        <v>-90476</v>
      </c>
      <c r="H103" s="217" t="e">
        <f t="shared" si="14"/>
        <v>#DIV/0!</v>
      </c>
    </row>
    <row r="104" spans="1:11" ht="18" customHeight="1" thickBot="1" x14ac:dyDescent="0.25">
      <c r="A104" s="218">
        <v>53</v>
      </c>
      <c r="B104" s="219" t="s">
        <v>54</v>
      </c>
      <c r="C104" s="220">
        <v>-33334</v>
      </c>
      <c r="D104" s="221"/>
      <c r="E104" s="220">
        <v>-66667</v>
      </c>
      <c r="F104" s="222">
        <v>0</v>
      </c>
      <c r="G104" s="220">
        <v>-66667</v>
      </c>
      <c r="H104" s="223">
        <f>G104/E104*100</f>
        <v>100</v>
      </c>
    </row>
    <row r="105" spans="1:11" x14ac:dyDescent="0.2">
      <c r="A105" s="237"/>
      <c r="B105" s="237"/>
      <c r="C105" s="161">
        <f>C80+C84+C85</f>
        <v>3938554</v>
      </c>
      <c r="D105" s="161">
        <f>D80+D84+D85</f>
        <v>1805422</v>
      </c>
      <c r="E105" s="161">
        <f>E80+E84+E85</f>
        <v>3579860.003</v>
      </c>
      <c r="F105" s="161"/>
      <c r="G105" s="161">
        <f>G80+G84+G85</f>
        <v>3580231</v>
      </c>
      <c r="H105" s="161"/>
      <c r="I105" s="163"/>
      <c r="J105" s="163"/>
      <c r="K105" s="93"/>
    </row>
    <row r="106" spans="1:11" x14ac:dyDescent="0.2">
      <c r="A106" s="196"/>
      <c r="B106" s="196"/>
      <c r="C106" s="161">
        <f>C82-C88</f>
        <v>3938554</v>
      </c>
      <c r="D106" s="161">
        <f>D82-D88</f>
        <v>1577779</v>
      </c>
      <c r="E106" s="161">
        <f>E82-E88</f>
        <v>3579859.5999999996</v>
      </c>
      <c r="F106" s="161"/>
      <c r="G106" s="161">
        <f>G82-G88</f>
        <v>3580230.7699999996</v>
      </c>
      <c r="H106" s="161"/>
      <c r="I106" s="163"/>
      <c r="J106" s="163"/>
      <c r="K106" s="93"/>
    </row>
    <row r="107" spans="1:11" x14ac:dyDescent="0.2">
      <c r="A107" s="107"/>
      <c r="B107" s="164"/>
      <c r="C107" s="190"/>
      <c r="D107" s="190"/>
      <c r="E107" s="190"/>
      <c r="F107" s="190"/>
      <c r="G107" s="190"/>
      <c r="H107" s="195"/>
      <c r="I107" s="163"/>
      <c r="J107" s="163"/>
      <c r="K107" s="93"/>
    </row>
    <row r="108" spans="1:11" x14ac:dyDescent="0.2">
      <c r="B108" s="165"/>
      <c r="C108" s="191"/>
      <c r="D108" s="191"/>
      <c r="E108" s="191"/>
      <c r="F108" s="191"/>
      <c r="G108" s="191"/>
      <c r="H108" s="195"/>
      <c r="I108" s="163"/>
      <c r="J108" s="163"/>
      <c r="K108" s="93"/>
    </row>
    <row r="109" spans="1:11" x14ac:dyDescent="0.2">
      <c r="B109" s="165"/>
      <c r="C109" s="197">
        <f>C82-C80</f>
        <v>319051</v>
      </c>
      <c r="D109" s="197">
        <f>D82-D80</f>
        <v>-272754</v>
      </c>
      <c r="E109" s="197">
        <f>E82-E80</f>
        <v>-176968.4030000004</v>
      </c>
      <c r="F109" s="197"/>
      <c r="G109" s="197">
        <f>G82-G80</f>
        <v>-200777.23000000045</v>
      </c>
      <c r="H109" s="162"/>
      <c r="I109" s="163"/>
      <c r="J109" s="163"/>
      <c r="K109" s="93"/>
    </row>
    <row r="110" spans="1:11" x14ac:dyDescent="0.2">
      <c r="B110" s="165"/>
      <c r="C110" s="192"/>
      <c r="D110" s="192"/>
      <c r="E110" s="161"/>
      <c r="F110" s="161"/>
      <c r="G110" s="161"/>
      <c r="H110" s="162"/>
      <c r="I110" s="163"/>
      <c r="J110" s="163"/>
    </row>
    <row r="111" spans="1:11" x14ac:dyDescent="0.2">
      <c r="C111" s="192"/>
      <c r="D111" s="192"/>
      <c r="E111" s="161">
        <f>E105-E106</f>
        <v>0.40300000039860606</v>
      </c>
      <c r="F111" s="161"/>
      <c r="G111" s="161">
        <f>G105-G106</f>
        <v>0.23000000044703484</v>
      </c>
      <c r="H111" s="162"/>
      <c r="I111" s="163"/>
      <c r="J111" s="163"/>
    </row>
    <row r="112" spans="1:11" x14ac:dyDescent="0.2">
      <c r="C112" s="192"/>
      <c r="D112" s="192"/>
      <c r="E112" s="161"/>
      <c r="F112" s="162"/>
      <c r="G112" s="161"/>
      <c r="H112" s="162"/>
      <c r="I112" s="163"/>
      <c r="J112" s="163"/>
    </row>
    <row r="113" spans="3:10" x14ac:dyDescent="0.2">
      <c r="C113" s="161"/>
      <c r="D113" s="161"/>
      <c r="E113" s="161"/>
      <c r="F113" s="162"/>
      <c r="G113" s="161"/>
      <c r="H113" s="162"/>
      <c r="I113" s="163"/>
      <c r="J113" s="163"/>
    </row>
    <row r="114" spans="3:10" x14ac:dyDescent="0.2">
      <c r="E114" s="161"/>
      <c r="F114" s="162"/>
      <c r="G114" s="161"/>
      <c r="H114" s="162"/>
      <c r="I114" s="163"/>
    </row>
    <row r="115" spans="3:10" x14ac:dyDescent="0.2">
      <c r="G115" s="161"/>
    </row>
  </sheetData>
  <mergeCells count="23">
    <mergeCell ref="A105:B105"/>
    <mergeCell ref="D31:D34"/>
    <mergeCell ref="B3:B6"/>
    <mergeCell ref="C3:C6"/>
    <mergeCell ref="D3:D6"/>
    <mergeCell ref="A3:A6"/>
    <mergeCell ref="A31:A34"/>
    <mergeCell ref="B31:B34"/>
    <mergeCell ref="C31:C34"/>
    <mergeCell ref="E55:E59"/>
    <mergeCell ref="F55:F59"/>
    <mergeCell ref="G55:G59"/>
    <mergeCell ref="H55:H59"/>
    <mergeCell ref="E3:H3"/>
    <mergeCell ref="G4:G6"/>
    <mergeCell ref="H4:H6"/>
    <mergeCell ref="E4:E6"/>
    <mergeCell ref="F4:F6"/>
    <mergeCell ref="E31:H31"/>
    <mergeCell ref="G32:G34"/>
    <mergeCell ref="H32:H34"/>
    <mergeCell ref="E32:E34"/>
    <mergeCell ref="F32:F34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5" firstPageNumber="8" orientation="portrait" useFirstPageNumber="1" r:id="rId1"/>
  <headerFooter alignWithMargins="0">
    <oddFooter>&amp;L&amp;"Arial,Kurzíva"Zastupitelstvo Olomouckého kraje 22.02.2013
7.- Rozpočtový výhled Olomouckého kraje 2014 - 2015
Příloha č. 1.&amp;R&amp;"Arial,Kurzíva"Strana 8 (celkem 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Dostálová Edita</cp:lastModifiedBy>
  <cp:lastPrinted>2013-01-18T11:34:34Z</cp:lastPrinted>
  <dcterms:created xsi:type="dcterms:W3CDTF">2007-01-30T08:08:06Z</dcterms:created>
  <dcterms:modified xsi:type="dcterms:W3CDTF">2013-01-18T11:34:43Z</dcterms:modified>
</cp:coreProperties>
</file>