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1\ZOK 21.12.2020\"/>
    </mc:Choice>
  </mc:AlternateContent>
  <bookViews>
    <workbookView xWindow="120" yWindow="930" windowWidth="19320" windowHeight="11295" activeTab="1"/>
  </bookViews>
  <sheets>
    <sheet name="stránky" sheetId="3" r:id="rId1"/>
    <sheet name="bilance " sheetId="4" r:id="rId2"/>
    <sheet name="a) Příjmy" sheetId="7" r:id="rId3"/>
    <sheet name="b) Výdaje" sheetId="8" r:id="rId4"/>
    <sheet name="c) Dotační tituly" sheetId="9" r:id="rId5"/>
    <sheet name="d) Příspěvkové organizace" sheetId="10" r:id="rId6"/>
    <sheet name="e) FSP" sheetId="11" r:id="rId7"/>
    <sheet name="f) Fond voda" sheetId="12" r:id="rId8"/>
    <sheet name="g) Financování" sheetId="14" r:id="rId9"/>
    <sheet name="h) Investice" sheetId="13" r:id="rId10"/>
    <sheet name="bilance - snížená" sheetId="5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Database">#REF!</definedName>
    <definedName name="Makro1">#N/A</definedName>
    <definedName name="_xlnm.Print_Titles" localSheetId="4">'c) Dotační tituly'!$3:$5</definedName>
    <definedName name="_xlnm.Print_Area" localSheetId="2">'a) Příjmy'!$A$1:$G$82</definedName>
    <definedName name="_xlnm.Print_Area" localSheetId="3">'b) Výdaje'!$A$1:$I$30</definedName>
    <definedName name="_xlnm.Print_Area" localSheetId="1">'bilance '!$A$1:$H$65</definedName>
    <definedName name="_xlnm.Print_Area" localSheetId="10">'bilance - snížená'!$A$1:$G$59</definedName>
    <definedName name="_xlnm.Print_Area" localSheetId="4">'c) Dotační tituly'!$A$1:$H$126</definedName>
    <definedName name="_xlnm.Print_Area" localSheetId="5">'d) Příspěvkové organizace'!$A$1:$L$87</definedName>
    <definedName name="_xlnm.Print_Area" localSheetId="6">'e) FSP'!$B$1:$H$79</definedName>
    <definedName name="_xlnm.Print_Area" localSheetId="7">'f) Fond voda'!$A$1:$G$37</definedName>
    <definedName name="_xlnm.Print_Area" localSheetId="8">'g) Financování'!$B$1:$H$44</definedName>
    <definedName name="_xlnm.Print_Area" localSheetId="9">'h) Investice'!$A$1:$J$42</definedName>
    <definedName name="_xlnm.Print_Area" localSheetId="0">stránky!$A$1:$I$90</definedName>
  </definedNames>
  <calcPr calcId="162913"/>
</workbook>
</file>

<file path=xl/calcChain.xml><?xml version="1.0" encoding="utf-8"?>
<calcChain xmlns="http://schemas.openxmlformats.org/spreadsheetml/2006/main">
  <c r="G58" i="4" l="1"/>
  <c r="H50" i="4" l="1"/>
  <c r="H21" i="4"/>
  <c r="H18" i="4"/>
  <c r="H5" i="4"/>
  <c r="G41" i="14" l="1"/>
  <c r="G40" i="14" s="1"/>
  <c r="G30" i="14" s="1"/>
  <c r="H30" i="14" s="1"/>
  <c r="G35" i="14"/>
  <c r="G34" i="14"/>
  <c r="G29" i="14" s="1"/>
  <c r="F31" i="14"/>
  <c r="E31" i="14"/>
  <c r="G18" i="14"/>
  <c r="G9" i="14" s="1"/>
  <c r="G13" i="14"/>
  <c r="G8" i="14" s="1"/>
  <c r="H8" i="14" s="1"/>
  <c r="F10" i="14"/>
  <c r="E10" i="14"/>
  <c r="G31" i="14" l="1"/>
  <c r="H29" i="14"/>
  <c r="G10" i="14"/>
  <c r="H10" i="14" s="1"/>
  <c r="H31" i="14"/>
  <c r="G29" i="4" l="1"/>
  <c r="E29" i="4"/>
  <c r="H28" i="8"/>
  <c r="I28" i="8" s="1"/>
  <c r="G28" i="8"/>
  <c r="F28" i="8"/>
  <c r="H22" i="8"/>
  <c r="G22" i="8"/>
  <c r="F22" i="8"/>
  <c r="E22" i="8"/>
  <c r="D22" i="8"/>
  <c r="D23" i="8" s="1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H15" i="8"/>
  <c r="G15" i="8"/>
  <c r="F15" i="8"/>
  <c r="H14" i="8"/>
  <c r="G14" i="8"/>
  <c r="F14" i="8"/>
  <c r="E14" i="8"/>
  <c r="H13" i="8"/>
  <c r="G13" i="8"/>
  <c r="F13" i="8"/>
  <c r="H12" i="8"/>
  <c r="G12" i="8"/>
  <c r="F12" i="8"/>
  <c r="H11" i="8"/>
  <c r="G11" i="8"/>
  <c r="F11" i="8"/>
  <c r="H10" i="8"/>
  <c r="G10" i="8"/>
  <c r="F10" i="8"/>
  <c r="H9" i="8"/>
  <c r="G9" i="8"/>
  <c r="F9" i="8"/>
  <c r="E9" i="8"/>
  <c r="E23" i="8" s="1"/>
  <c r="H8" i="8"/>
  <c r="G8" i="8"/>
  <c r="F8" i="8"/>
  <c r="H7" i="8"/>
  <c r="G7" i="8"/>
  <c r="F7" i="8"/>
  <c r="I16" i="8" l="1"/>
  <c r="I20" i="8"/>
  <c r="I22" i="8"/>
  <c r="H29" i="4"/>
  <c r="I7" i="8"/>
  <c r="I12" i="8"/>
  <c r="I17" i="8"/>
  <c r="I21" i="8"/>
  <c r="I8" i="8"/>
  <c r="I9" i="8"/>
  <c r="I11" i="8"/>
  <c r="F23" i="8"/>
  <c r="F27" i="8" s="1"/>
  <c r="G23" i="8"/>
  <c r="G27" i="8" s="1"/>
  <c r="G29" i="8" s="1"/>
  <c r="I10" i="8"/>
  <c r="I15" i="8"/>
  <c r="I19" i="8"/>
  <c r="I13" i="8"/>
  <c r="I14" i="8"/>
  <c r="I18" i="8"/>
  <c r="H23" i="8"/>
  <c r="F29" i="8" l="1"/>
  <c r="E28" i="4"/>
  <c r="I23" i="8"/>
  <c r="H27" i="8"/>
  <c r="G28" i="4" s="1"/>
  <c r="H28" i="4" l="1"/>
  <c r="I27" i="8"/>
  <c r="H29" i="8"/>
  <c r="I29" i="8" s="1"/>
  <c r="G60" i="4" l="1"/>
  <c r="G59" i="4"/>
  <c r="H59" i="4" s="1"/>
  <c r="G57" i="4"/>
  <c r="G56" i="4"/>
  <c r="H56" i="4" s="1"/>
  <c r="G61" i="4" l="1"/>
  <c r="H51" i="13"/>
  <c r="G51" i="13"/>
  <c r="F51" i="13"/>
  <c r="E51" i="13"/>
  <c r="D51" i="13"/>
  <c r="J50" i="13"/>
  <c r="I50" i="13"/>
  <c r="I49" i="13"/>
  <c r="J49" i="13" s="1"/>
  <c r="J48" i="13"/>
  <c r="I48" i="13"/>
  <c r="I47" i="13"/>
  <c r="J47" i="13" s="1"/>
  <c r="J46" i="13"/>
  <c r="I46" i="13"/>
  <c r="I45" i="13"/>
  <c r="I51" i="13" s="1"/>
  <c r="E41" i="13"/>
  <c r="D41" i="13"/>
  <c r="H40" i="13"/>
  <c r="G40" i="13"/>
  <c r="F40" i="13"/>
  <c r="H39" i="13"/>
  <c r="G39" i="13"/>
  <c r="F39" i="13"/>
  <c r="H37" i="13"/>
  <c r="F37" i="13"/>
  <c r="H36" i="13"/>
  <c r="G36" i="13"/>
  <c r="F36" i="13"/>
  <c r="E36" i="13"/>
  <c r="H35" i="13"/>
  <c r="G35" i="13"/>
  <c r="G38" i="13" s="1"/>
  <c r="F35" i="13"/>
  <c r="E35" i="13"/>
  <c r="H34" i="13"/>
  <c r="F34" i="13"/>
  <c r="D34" i="13"/>
  <c r="D38" i="13" s="1"/>
  <c r="G33" i="13"/>
  <c r="F33" i="13"/>
  <c r="D33" i="13"/>
  <c r="H32" i="13"/>
  <c r="H33" i="13" s="1"/>
  <c r="E32" i="13"/>
  <c r="F31" i="13"/>
  <c r="D31" i="13"/>
  <c r="H30" i="13"/>
  <c r="H31" i="13" s="1"/>
  <c r="G30" i="13"/>
  <c r="G31" i="13" s="1"/>
  <c r="E30" i="13"/>
  <c r="F29" i="13"/>
  <c r="E29" i="13"/>
  <c r="H28" i="13"/>
  <c r="I28" i="13" s="1"/>
  <c r="H27" i="13"/>
  <c r="D27" i="13"/>
  <c r="D29" i="13" s="1"/>
  <c r="H26" i="13"/>
  <c r="J26" i="13" s="1"/>
  <c r="H25" i="13"/>
  <c r="J25" i="13" s="1"/>
  <c r="H24" i="13"/>
  <c r="G24" i="13"/>
  <c r="H23" i="13"/>
  <c r="I23" i="13" s="1"/>
  <c r="G22" i="13"/>
  <c r="F22" i="13"/>
  <c r="E22" i="13"/>
  <c r="H21" i="13"/>
  <c r="J21" i="13" s="1"/>
  <c r="H20" i="13"/>
  <c r="D20" i="13"/>
  <c r="D22" i="13" s="1"/>
  <c r="H19" i="13"/>
  <c r="G18" i="13"/>
  <c r="E18" i="13"/>
  <c r="F17" i="13"/>
  <c r="F18" i="13" s="1"/>
  <c r="H16" i="13"/>
  <c r="D16" i="13"/>
  <c r="H15" i="13"/>
  <c r="D15" i="13"/>
  <c r="H14" i="13"/>
  <c r="J14" i="13" s="1"/>
  <c r="G13" i="13"/>
  <c r="F13" i="13"/>
  <c r="E13" i="13"/>
  <c r="H12" i="13"/>
  <c r="J12" i="13" s="1"/>
  <c r="H11" i="13"/>
  <c r="J11" i="13" s="1"/>
  <c r="H10" i="13"/>
  <c r="D10" i="13"/>
  <c r="H9" i="13"/>
  <c r="J9" i="13" s="1"/>
  <c r="G8" i="13"/>
  <c r="H7" i="13"/>
  <c r="E7" i="13"/>
  <c r="E8" i="13" s="1"/>
  <c r="H6" i="13"/>
  <c r="D6" i="13"/>
  <c r="H5" i="13"/>
  <c r="D5" i="13"/>
  <c r="H4" i="13"/>
  <c r="F4" i="13"/>
  <c r="F8" i="13" s="1"/>
  <c r="J5" i="13" l="1"/>
  <c r="J15" i="13"/>
  <c r="I40" i="13"/>
  <c r="J6" i="13"/>
  <c r="J28" i="13"/>
  <c r="D57" i="13"/>
  <c r="F38" i="13"/>
  <c r="I12" i="13"/>
  <c r="H38" i="13"/>
  <c r="D54" i="13"/>
  <c r="I26" i="13"/>
  <c r="J37" i="13"/>
  <c r="I4" i="13"/>
  <c r="I5" i="13"/>
  <c r="I6" i="13"/>
  <c r="I7" i="13"/>
  <c r="I11" i="13"/>
  <c r="H22" i="13"/>
  <c r="I21" i="13"/>
  <c r="J32" i="13"/>
  <c r="J33" i="13" s="1"/>
  <c r="J4" i="13"/>
  <c r="J7" i="13"/>
  <c r="J10" i="13"/>
  <c r="J13" i="13" s="1"/>
  <c r="I17" i="13"/>
  <c r="J23" i="13"/>
  <c r="I27" i="13"/>
  <c r="I35" i="13"/>
  <c r="J36" i="13"/>
  <c r="F41" i="13"/>
  <c r="D55" i="13"/>
  <c r="J16" i="13"/>
  <c r="J18" i="13" s="1"/>
  <c r="J24" i="13"/>
  <c r="I30" i="13"/>
  <c r="I31" i="13" s="1"/>
  <c r="J34" i="13"/>
  <c r="I39" i="13"/>
  <c r="I41" i="13" s="1"/>
  <c r="G41" i="13"/>
  <c r="D8" i="13"/>
  <c r="H8" i="13"/>
  <c r="I9" i="13"/>
  <c r="I10" i="13"/>
  <c r="D13" i="13"/>
  <c r="H13" i="13"/>
  <c r="I14" i="13"/>
  <c r="I15" i="13"/>
  <c r="I16" i="13"/>
  <c r="D18" i="13"/>
  <c r="H18" i="13"/>
  <c r="I19" i="13"/>
  <c r="I20" i="13"/>
  <c r="I25" i="13"/>
  <c r="J27" i="13"/>
  <c r="H29" i="13"/>
  <c r="E33" i="13"/>
  <c r="J35" i="13"/>
  <c r="E38" i="13"/>
  <c r="H41" i="13"/>
  <c r="J45" i="13"/>
  <c r="J51" i="13" s="1"/>
  <c r="G29" i="13"/>
  <c r="J40" i="13"/>
  <c r="J19" i="13"/>
  <c r="J20" i="13"/>
  <c r="I24" i="13"/>
  <c r="E31" i="13"/>
  <c r="I32" i="13"/>
  <c r="I33" i="13" s="1"/>
  <c r="I34" i="13"/>
  <c r="I36" i="13"/>
  <c r="I37" i="13"/>
  <c r="D58" i="13"/>
  <c r="J30" i="13"/>
  <c r="J31" i="13" s="1"/>
  <c r="J39" i="13"/>
  <c r="F42" i="13" l="1"/>
  <c r="J8" i="13"/>
  <c r="E42" i="13"/>
  <c r="J29" i="13"/>
  <c r="J22" i="13"/>
  <c r="I22" i="13"/>
  <c r="I29" i="13"/>
  <c r="G42" i="13"/>
  <c r="J53" i="13" s="1"/>
  <c r="J38" i="13"/>
  <c r="D59" i="13"/>
  <c r="I8" i="13"/>
  <c r="I18" i="13"/>
  <c r="I13" i="13"/>
  <c r="J41" i="13"/>
  <c r="H42" i="13"/>
  <c r="I38" i="13"/>
  <c r="D42" i="13"/>
  <c r="I53" i="13"/>
  <c r="J42" i="13" l="1"/>
  <c r="I42" i="13"/>
  <c r="J55" i="13" s="1"/>
  <c r="D43" i="13"/>
  <c r="D56" i="13"/>
  <c r="I52" i="13"/>
  <c r="I54" i="13" s="1"/>
  <c r="J52" i="13" l="1"/>
  <c r="J54" i="13" s="1"/>
  <c r="F13" i="12"/>
  <c r="D14" i="12"/>
  <c r="E14" i="12"/>
  <c r="F20" i="12"/>
  <c r="F23" i="12"/>
  <c r="F29" i="12"/>
  <c r="F11" i="12" s="1"/>
  <c r="F32" i="12"/>
  <c r="F12" i="12" s="1"/>
  <c r="F35" i="12"/>
  <c r="G11" i="12" l="1"/>
  <c r="F14" i="12"/>
  <c r="G14" i="12" s="1"/>
  <c r="G10" i="11"/>
  <c r="H10" i="11"/>
  <c r="G11" i="11"/>
  <c r="H11" i="11" s="1"/>
  <c r="G14" i="11"/>
  <c r="H14" i="11"/>
  <c r="E15" i="11"/>
  <c r="F15" i="11"/>
  <c r="G19" i="11"/>
  <c r="G9" i="11" s="1"/>
  <c r="G27" i="11"/>
  <c r="G34" i="11"/>
  <c r="G37" i="11"/>
  <c r="G12" i="11" s="1"/>
  <c r="H12" i="11" s="1"/>
  <c r="G41" i="11"/>
  <c r="G13" i="11" s="1"/>
  <c r="H13" i="11" s="1"/>
  <c r="G67" i="11"/>
  <c r="H9" i="11" l="1"/>
  <c r="G15" i="11"/>
  <c r="H15" i="11" s="1"/>
  <c r="D85" i="10"/>
  <c r="F83" i="10"/>
  <c r="E83" i="10"/>
  <c r="F82" i="10"/>
  <c r="E82" i="10"/>
  <c r="F81" i="10"/>
  <c r="E81" i="10"/>
  <c r="F80" i="10"/>
  <c r="E80" i="10"/>
  <c r="F79" i="10"/>
  <c r="E79" i="10"/>
  <c r="F78" i="10"/>
  <c r="F77" i="10" s="1"/>
  <c r="E78" i="10"/>
  <c r="E77" i="10" s="1"/>
  <c r="G77" i="10"/>
  <c r="F76" i="10"/>
  <c r="F74" i="10" s="1"/>
  <c r="E76" i="10"/>
  <c r="E74" i="10"/>
  <c r="F72" i="10"/>
  <c r="G72" i="10" s="1"/>
  <c r="G64" i="10" s="1"/>
  <c r="G84" i="10" s="1"/>
  <c r="G86" i="10" s="1"/>
  <c r="E72" i="10"/>
  <c r="D72" i="10"/>
  <c r="F71" i="10"/>
  <c r="F70" i="10"/>
  <c r="F69" i="10"/>
  <c r="E69" i="10"/>
  <c r="G68" i="10"/>
  <c r="F68" i="10"/>
  <c r="E68" i="10"/>
  <c r="D68" i="10"/>
  <c r="F67" i="10"/>
  <c r="E67" i="10"/>
  <c r="F66" i="10"/>
  <c r="E66" i="10"/>
  <c r="F65" i="10"/>
  <c r="F64" i="10" s="1"/>
  <c r="F84" i="10" s="1"/>
  <c r="F86" i="10" s="1"/>
  <c r="E65" i="10"/>
  <c r="D55" i="10"/>
  <c r="H53" i="10"/>
  <c r="I53" i="10" s="1"/>
  <c r="G53" i="10"/>
  <c r="H52" i="10"/>
  <c r="H72" i="10" s="1"/>
  <c r="G52" i="10"/>
  <c r="E51" i="10"/>
  <c r="I51" i="10" s="1"/>
  <c r="D50" i="10"/>
  <c r="H49" i="10"/>
  <c r="I49" i="10" s="1"/>
  <c r="D49" i="10"/>
  <c r="H48" i="10"/>
  <c r="I48" i="10" s="1"/>
  <c r="D48" i="10"/>
  <c r="H47" i="10"/>
  <c r="I47" i="10" s="1"/>
  <c r="D47" i="10"/>
  <c r="H46" i="10"/>
  <c r="I46" i="10" s="1"/>
  <c r="D46" i="10"/>
  <c r="G45" i="10"/>
  <c r="F45" i="10"/>
  <c r="E45" i="10"/>
  <c r="H44" i="10"/>
  <c r="H43" i="10"/>
  <c r="I43" i="10" s="1"/>
  <c r="F42" i="10"/>
  <c r="E42" i="10"/>
  <c r="H41" i="10"/>
  <c r="E41" i="10"/>
  <c r="E71" i="10" s="1"/>
  <c r="D41" i="10"/>
  <c r="H40" i="10"/>
  <c r="H70" i="10" s="1"/>
  <c r="E40" i="10"/>
  <c r="D40" i="10"/>
  <c r="H39" i="10"/>
  <c r="J39" i="10" s="1"/>
  <c r="D39" i="10"/>
  <c r="H38" i="10"/>
  <c r="I38" i="10" s="1"/>
  <c r="D38" i="10"/>
  <c r="H37" i="10"/>
  <c r="J37" i="10" s="1"/>
  <c r="D37" i="10"/>
  <c r="H36" i="10"/>
  <c r="J36" i="10" s="1"/>
  <c r="D36" i="10"/>
  <c r="H35" i="10"/>
  <c r="J35" i="10" s="1"/>
  <c r="D35" i="10"/>
  <c r="F34" i="10"/>
  <c r="F33" i="10" s="1"/>
  <c r="G33" i="10"/>
  <c r="H32" i="10"/>
  <c r="J32" i="10" s="1"/>
  <c r="H31" i="10"/>
  <c r="I31" i="10" s="1"/>
  <c r="H30" i="10"/>
  <c r="H81" i="10" s="1"/>
  <c r="J81" i="10" s="1"/>
  <c r="D30" i="10"/>
  <c r="D81" i="10" s="1"/>
  <c r="H29" i="10"/>
  <c r="H80" i="10" s="1"/>
  <c r="D29" i="10"/>
  <c r="D80" i="10" s="1"/>
  <c r="H28" i="10"/>
  <c r="H79" i="10" s="1"/>
  <c r="J79" i="10" s="1"/>
  <c r="D28" i="10"/>
  <c r="D79" i="10" s="1"/>
  <c r="H27" i="10"/>
  <c r="H78" i="10" s="1"/>
  <c r="D27" i="10"/>
  <c r="D78" i="10" s="1"/>
  <c r="G26" i="10"/>
  <c r="F26" i="10"/>
  <c r="E26" i="10"/>
  <c r="H25" i="10"/>
  <c r="D25" i="10"/>
  <c r="H24" i="10"/>
  <c r="I24" i="10" s="1"/>
  <c r="D24" i="10"/>
  <c r="H23" i="10"/>
  <c r="I23" i="10" s="1"/>
  <c r="D23" i="10"/>
  <c r="H22" i="10"/>
  <c r="I22" i="10" s="1"/>
  <c r="D22" i="10"/>
  <c r="G21" i="10"/>
  <c r="G20" i="10" s="1"/>
  <c r="F21" i="10"/>
  <c r="F20" i="10" s="1"/>
  <c r="E21" i="10"/>
  <c r="E20" i="10"/>
  <c r="H19" i="10"/>
  <c r="H18" i="10"/>
  <c r="I18" i="10" s="1"/>
  <c r="D18" i="10"/>
  <c r="H17" i="10"/>
  <c r="I17" i="10" s="1"/>
  <c r="D17" i="10"/>
  <c r="H16" i="10"/>
  <c r="I16" i="10" s="1"/>
  <c r="D16" i="10"/>
  <c r="G15" i="10"/>
  <c r="F15" i="10"/>
  <c r="E15" i="10"/>
  <c r="H14" i="10"/>
  <c r="J14" i="10" s="1"/>
  <c r="D14" i="10"/>
  <c r="H13" i="10"/>
  <c r="I13" i="10" s="1"/>
  <c r="D13" i="10"/>
  <c r="H12" i="10"/>
  <c r="J12" i="10" s="1"/>
  <c r="D12" i="10"/>
  <c r="H11" i="10"/>
  <c r="D11" i="10"/>
  <c r="H10" i="10"/>
  <c r="J10" i="10" s="1"/>
  <c r="D10" i="10"/>
  <c r="G9" i="10"/>
  <c r="G54" i="10" s="1"/>
  <c r="G56" i="10" s="1"/>
  <c r="F9" i="10"/>
  <c r="F54" i="10" s="1"/>
  <c r="F56" i="10" s="1"/>
  <c r="E9" i="10"/>
  <c r="J47" i="10" l="1"/>
  <c r="D15" i="10"/>
  <c r="D9" i="10"/>
  <c r="H68" i="10"/>
  <c r="I68" i="10" s="1"/>
  <c r="D66" i="10"/>
  <c r="J17" i="10"/>
  <c r="D77" i="10"/>
  <c r="D67" i="10"/>
  <c r="D69" i="10"/>
  <c r="J24" i="10"/>
  <c r="H15" i="10"/>
  <c r="H26" i="10"/>
  <c r="J26" i="10" s="1"/>
  <c r="J27" i="10"/>
  <c r="J28" i="10"/>
  <c r="J29" i="10"/>
  <c r="J30" i="10"/>
  <c r="H45" i="10"/>
  <c r="J45" i="10" s="1"/>
  <c r="H66" i="10"/>
  <c r="I66" i="10" s="1"/>
  <c r="J18" i="10"/>
  <c r="J22" i="10"/>
  <c r="D45" i="10"/>
  <c r="J48" i="10"/>
  <c r="J52" i="10"/>
  <c r="J16" i="10"/>
  <c r="D21" i="10"/>
  <c r="I27" i="10"/>
  <c r="I28" i="10"/>
  <c r="I29" i="10"/>
  <c r="I30" i="10"/>
  <c r="J46" i="10"/>
  <c r="D26" i="10"/>
  <c r="E34" i="10"/>
  <c r="E33" i="10" s="1"/>
  <c r="E54" i="10" s="1"/>
  <c r="E56" i="10" s="1"/>
  <c r="I41" i="10"/>
  <c r="J51" i="10"/>
  <c r="I15" i="10"/>
  <c r="J23" i="10"/>
  <c r="J31" i="10"/>
  <c r="J41" i="10"/>
  <c r="H42" i="10"/>
  <c r="J42" i="10" s="1"/>
  <c r="H21" i="10"/>
  <c r="H20" i="10" s="1"/>
  <c r="D70" i="10"/>
  <c r="H71" i="10"/>
  <c r="J71" i="10" s="1"/>
  <c r="I80" i="10"/>
  <c r="J80" i="10"/>
  <c r="I72" i="10"/>
  <c r="J72" i="10"/>
  <c r="I78" i="10"/>
  <c r="J78" i="10"/>
  <c r="D33" i="10"/>
  <c r="I14" i="10"/>
  <c r="J15" i="10"/>
  <c r="H34" i="10"/>
  <c r="I39" i="10"/>
  <c r="I44" i="10"/>
  <c r="H65" i="10"/>
  <c r="H67" i="10"/>
  <c r="H69" i="10"/>
  <c r="E70" i="10"/>
  <c r="E64" i="10" s="1"/>
  <c r="E84" i="10" s="1"/>
  <c r="E86" i="10" s="1"/>
  <c r="H75" i="10"/>
  <c r="I75" i="10" s="1"/>
  <c r="H76" i="10"/>
  <c r="I79" i="10"/>
  <c r="I81" i="10"/>
  <c r="H82" i="10"/>
  <c r="H9" i="10"/>
  <c r="I10" i="10"/>
  <c r="I11" i="10"/>
  <c r="I12" i="10"/>
  <c r="I32" i="10"/>
  <c r="I35" i="10"/>
  <c r="I36" i="10"/>
  <c r="I37" i="10"/>
  <c r="I40" i="10"/>
  <c r="J44" i="10"/>
  <c r="D65" i="10"/>
  <c r="H73" i="10"/>
  <c r="I73" i="10" s="1"/>
  <c r="H83" i="10"/>
  <c r="J11" i="10"/>
  <c r="J40" i="10"/>
  <c r="I52" i="10"/>
  <c r="G121" i="9"/>
  <c r="F121" i="9"/>
  <c r="G120" i="9"/>
  <c r="F120" i="9"/>
  <c r="F119" i="9" s="1"/>
  <c r="F123" i="9" s="1"/>
  <c r="E120" i="9"/>
  <c r="E119" i="9" s="1"/>
  <c r="E123" i="9" s="1"/>
  <c r="G116" i="9"/>
  <c r="H116" i="9" s="1"/>
  <c r="G115" i="9"/>
  <c r="H115" i="9" s="1"/>
  <c r="F114" i="9"/>
  <c r="E114" i="9"/>
  <c r="G112" i="9"/>
  <c r="H112" i="9" s="1"/>
  <c r="G111" i="9"/>
  <c r="H111" i="9" s="1"/>
  <c r="F110" i="9"/>
  <c r="E110" i="9"/>
  <c r="H108" i="9"/>
  <c r="G107" i="9"/>
  <c r="H107" i="9" s="1"/>
  <c r="G106" i="9"/>
  <c r="H106" i="9" s="1"/>
  <c r="G105" i="9"/>
  <c r="H105" i="9" s="1"/>
  <c r="G104" i="9"/>
  <c r="F103" i="9"/>
  <c r="E103" i="9"/>
  <c r="F102" i="9"/>
  <c r="E102" i="9"/>
  <c r="G101" i="9"/>
  <c r="H101" i="9" s="1"/>
  <c r="G100" i="9"/>
  <c r="F99" i="9"/>
  <c r="E99" i="9"/>
  <c r="G98" i="9"/>
  <c r="H98" i="9" s="1"/>
  <c r="G97" i="9"/>
  <c r="H97" i="9" s="1"/>
  <c r="G96" i="9"/>
  <c r="F95" i="9"/>
  <c r="E95" i="9"/>
  <c r="H94" i="9"/>
  <c r="G93" i="9"/>
  <c r="H93" i="9" s="1"/>
  <c r="G92" i="9"/>
  <c r="H92" i="9" s="1"/>
  <c r="G91" i="9"/>
  <c r="F90" i="9"/>
  <c r="F83" i="9" s="1"/>
  <c r="E90" i="9"/>
  <c r="E83" i="9" s="1"/>
  <c r="G89" i="9"/>
  <c r="H89" i="9" s="1"/>
  <c r="G88" i="9"/>
  <c r="H88" i="9" s="1"/>
  <c r="G87" i="9"/>
  <c r="H87" i="9" s="1"/>
  <c r="G86" i="9"/>
  <c r="H86" i="9" s="1"/>
  <c r="G85" i="9"/>
  <c r="H85" i="9" s="1"/>
  <c r="F84" i="9"/>
  <c r="E84" i="9"/>
  <c r="G82" i="9"/>
  <c r="H82" i="9" s="1"/>
  <c r="H81" i="9"/>
  <c r="H80" i="9"/>
  <c r="G79" i="9"/>
  <c r="H79" i="9" s="1"/>
  <c r="F79" i="9"/>
  <c r="E79" i="9"/>
  <c r="G78" i="9"/>
  <c r="H78" i="9" s="1"/>
  <c r="G77" i="9"/>
  <c r="H77" i="9" s="1"/>
  <c r="G76" i="9"/>
  <c r="H76" i="9" s="1"/>
  <c r="G75" i="9"/>
  <c r="H75" i="9" s="1"/>
  <c r="G74" i="9"/>
  <c r="H74" i="9" s="1"/>
  <c r="G73" i="9"/>
  <c r="H73" i="9" s="1"/>
  <c r="F72" i="9"/>
  <c r="E72" i="9"/>
  <c r="F71" i="9"/>
  <c r="E71" i="9"/>
  <c r="G70" i="9"/>
  <c r="H70" i="9" s="1"/>
  <c r="G69" i="9"/>
  <c r="H69" i="9" s="1"/>
  <c r="F68" i="9"/>
  <c r="E68" i="9"/>
  <c r="G67" i="9"/>
  <c r="H67" i="9" s="1"/>
  <c r="F65" i="9"/>
  <c r="E65" i="9"/>
  <c r="H65" i="9" s="1"/>
  <c r="G64" i="9"/>
  <c r="H64" i="9" s="1"/>
  <c r="G63" i="9"/>
  <c r="H63" i="9" s="1"/>
  <c r="G62" i="9"/>
  <c r="H62" i="9" s="1"/>
  <c r="G61" i="9"/>
  <c r="H61" i="9" s="1"/>
  <c r="G60" i="9"/>
  <c r="H60" i="9" s="1"/>
  <c r="G59" i="9"/>
  <c r="H59" i="9" s="1"/>
  <c r="G58" i="9"/>
  <c r="H58" i="9" s="1"/>
  <c r="G57" i="9"/>
  <c r="F56" i="9"/>
  <c r="E56" i="9"/>
  <c r="G55" i="9"/>
  <c r="H55" i="9" s="1"/>
  <c r="G54" i="9"/>
  <c r="F53" i="9"/>
  <c r="E53" i="9"/>
  <c r="F52" i="9"/>
  <c r="F51" i="9" s="1"/>
  <c r="E52" i="9"/>
  <c r="E51" i="9"/>
  <c r="G50" i="9"/>
  <c r="H50" i="9" s="1"/>
  <c r="G49" i="9"/>
  <c r="H49" i="9" s="1"/>
  <c r="G48" i="9"/>
  <c r="H48" i="9" s="1"/>
  <c r="F47" i="9"/>
  <c r="E47" i="9"/>
  <c r="G46" i="9"/>
  <c r="H46" i="9" s="1"/>
  <c r="G45" i="9"/>
  <c r="G43" i="9"/>
  <c r="H43" i="9" s="1"/>
  <c r="G42" i="9"/>
  <c r="H42" i="9" s="1"/>
  <c r="G41" i="9"/>
  <c r="H41" i="9" s="1"/>
  <c r="G40" i="9"/>
  <c r="F39" i="9"/>
  <c r="E39" i="9"/>
  <c r="F38" i="9"/>
  <c r="E38" i="9"/>
  <c r="H37" i="9"/>
  <c r="H36" i="9"/>
  <c r="H35" i="9"/>
  <c r="G34" i="9"/>
  <c r="H34" i="9" s="1"/>
  <c r="F34" i="9"/>
  <c r="E34" i="9"/>
  <c r="E30" i="9" s="1"/>
  <c r="G33" i="9"/>
  <c r="H33" i="9" s="1"/>
  <c r="G32" i="9"/>
  <c r="H32" i="9" s="1"/>
  <c r="G31" i="9"/>
  <c r="H31" i="9" s="1"/>
  <c r="F30" i="9"/>
  <c r="G29" i="9"/>
  <c r="H29" i="9" s="1"/>
  <c r="G28" i="9"/>
  <c r="H28" i="9" s="1"/>
  <c r="F27" i="9"/>
  <c r="E27" i="9"/>
  <c r="G26" i="9"/>
  <c r="H26" i="9" s="1"/>
  <c r="G25" i="9"/>
  <c r="F24" i="9"/>
  <c r="E24" i="9"/>
  <c r="G23" i="9"/>
  <c r="H23" i="9" s="1"/>
  <c r="G22" i="9"/>
  <c r="H22" i="9" s="1"/>
  <c r="F21" i="9"/>
  <c r="E21" i="9"/>
  <c r="G20" i="9"/>
  <c r="E19" i="9"/>
  <c r="G18" i="9"/>
  <c r="H18" i="9" s="1"/>
  <c r="H17" i="9"/>
  <c r="G16" i="9"/>
  <c r="H16" i="9" s="1"/>
  <c r="G15" i="9"/>
  <c r="H15" i="9" s="1"/>
  <c r="G14" i="9"/>
  <c r="F13" i="9"/>
  <c r="E13" i="9"/>
  <c r="G12" i="9"/>
  <c r="H12" i="9" s="1"/>
  <c r="G11" i="9"/>
  <c r="F10" i="9"/>
  <c r="E10" i="9"/>
  <c r="G9" i="9"/>
  <c r="H9" i="9" s="1"/>
  <c r="G8" i="9"/>
  <c r="F7" i="9"/>
  <c r="E7" i="9"/>
  <c r="F6" i="9"/>
  <c r="E6" i="9"/>
  <c r="E117" i="9" s="1"/>
  <c r="I71" i="10" l="1"/>
  <c r="I45" i="10"/>
  <c r="D64" i="10"/>
  <c r="D84" i="10" s="1"/>
  <c r="D86" i="10" s="1"/>
  <c r="H120" i="9"/>
  <c r="J66" i="10"/>
  <c r="D20" i="10"/>
  <c r="D54" i="10" s="1"/>
  <c r="D56" i="10" s="1"/>
  <c r="G24" i="9"/>
  <c r="H24" i="9" s="1"/>
  <c r="I26" i="10"/>
  <c r="G53" i="9"/>
  <c r="H53" i="9" s="1"/>
  <c r="J70" i="10"/>
  <c r="G95" i="9"/>
  <c r="H95" i="9" s="1"/>
  <c r="G103" i="9"/>
  <c r="H103" i="9" s="1"/>
  <c r="I21" i="10"/>
  <c r="J21" i="10"/>
  <c r="G99" i="9"/>
  <c r="H99" i="9" s="1"/>
  <c r="G47" i="9"/>
  <c r="H47" i="9" s="1"/>
  <c r="I42" i="10"/>
  <c r="J9" i="10"/>
  <c r="I9" i="10"/>
  <c r="J76" i="10"/>
  <c r="I76" i="10"/>
  <c r="H74" i="10"/>
  <c r="J82" i="10"/>
  <c r="I82" i="10"/>
  <c r="J67" i="10"/>
  <c r="I67" i="10"/>
  <c r="J34" i="10"/>
  <c r="I34" i="10"/>
  <c r="H33" i="10"/>
  <c r="H54" i="10" s="1"/>
  <c r="I83" i="10"/>
  <c r="J83" i="10"/>
  <c r="J69" i="10"/>
  <c r="I69" i="10"/>
  <c r="I20" i="10"/>
  <c r="J20" i="10"/>
  <c r="J65" i="10"/>
  <c r="H64" i="10"/>
  <c r="I65" i="10"/>
  <c r="I70" i="10"/>
  <c r="H77" i="10"/>
  <c r="G21" i="9"/>
  <c r="H21" i="9" s="1"/>
  <c r="H25" i="9"/>
  <c r="G27" i="9"/>
  <c r="H27" i="9" s="1"/>
  <c r="G56" i="9"/>
  <c r="H56" i="9" s="1"/>
  <c r="H96" i="9"/>
  <c r="G119" i="9"/>
  <c r="H119" i="9" s="1"/>
  <c r="G30" i="9"/>
  <c r="H30" i="9" s="1"/>
  <c r="E125" i="9"/>
  <c r="G10" i="9"/>
  <c r="H10" i="9" s="1"/>
  <c r="H11" i="9"/>
  <c r="G13" i="9"/>
  <c r="H13" i="9" s="1"/>
  <c r="H14" i="9"/>
  <c r="G39" i="9"/>
  <c r="H40" i="9"/>
  <c r="F19" i="9"/>
  <c r="G68" i="9"/>
  <c r="H68" i="9" s="1"/>
  <c r="G72" i="9"/>
  <c r="G84" i="9"/>
  <c r="H91" i="9"/>
  <c r="G90" i="9"/>
  <c r="H90" i="9" s="1"/>
  <c r="G7" i="9"/>
  <c r="H8" i="9"/>
  <c r="F117" i="9"/>
  <c r="F125" i="9" s="1"/>
  <c r="G110" i="9"/>
  <c r="H110" i="9" s="1"/>
  <c r="H20" i="9"/>
  <c r="H54" i="9"/>
  <c r="H57" i="9"/>
  <c r="H100" i="9"/>
  <c r="H104" i="9"/>
  <c r="G114" i="9"/>
  <c r="H114" i="9" s="1"/>
  <c r="G123" i="9" l="1"/>
  <c r="H123" i="9" s="1"/>
  <c r="G19" i="9"/>
  <c r="H19" i="9" s="1"/>
  <c r="J77" i="10"/>
  <c r="I77" i="10"/>
  <c r="J54" i="10"/>
  <c r="I54" i="10"/>
  <c r="I56" i="10" s="1"/>
  <c r="H56" i="10"/>
  <c r="J56" i="10" s="1"/>
  <c r="I74" i="10"/>
  <c r="J74" i="10"/>
  <c r="I64" i="10"/>
  <c r="H84" i="10"/>
  <c r="J64" i="10"/>
  <c r="J33" i="10"/>
  <c r="I33" i="10"/>
  <c r="H7" i="9"/>
  <c r="G6" i="9"/>
  <c r="H84" i="9"/>
  <c r="G83" i="9"/>
  <c r="H83" i="9" s="1"/>
  <c r="G52" i="9"/>
  <c r="G102" i="9"/>
  <c r="H102" i="9" s="1"/>
  <c r="H72" i="9"/>
  <c r="G71" i="9"/>
  <c r="H71" i="9" s="1"/>
  <c r="H39" i="9"/>
  <c r="G38" i="9"/>
  <c r="H38" i="9" s="1"/>
  <c r="J84" i="10" l="1"/>
  <c r="I84" i="10"/>
  <c r="I86" i="10" s="1"/>
  <c r="H86" i="10"/>
  <c r="J86" i="10" s="1"/>
  <c r="H6" i="9"/>
  <c r="G51" i="9"/>
  <c r="H51" i="9" s="1"/>
  <c r="H52" i="9"/>
  <c r="G117" i="9" l="1"/>
  <c r="G125" i="9" l="1"/>
  <c r="H125" i="9" s="1"/>
  <c r="H117" i="9"/>
  <c r="E74" i="7" l="1"/>
  <c r="D74" i="7"/>
  <c r="G74" i="7" s="1"/>
  <c r="G66" i="7"/>
  <c r="F66" i="7"/>
  <c r="E66" i="7"/>
  <c r="D66" i="7"/>
  <c r="G65" i="7"/>
  <c r="G62" i="7"/>
  <c r="F48" i="7"/>
  <c r="G48" i="7" s="1"/>
  <c r="E48" i="7"/>
  <c r="D48" i="7"/>
  <c r="G47" i="7"/>
  <c r="G44" i="7"/>
  <c r="F38" i="7"/>
  <c r="E38" i="7"/>
  <c r="D38" i="7"/>
  <c r="F37" i="7"/>
  <c r="G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F29" i="7"/>
  <c r="E29" i="7"/>
  <c r="D29" i="7"/>
  <c r="F28" i="7"/>
  <c r="E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F21" i="7"/>
  <c r="E21" i="7"/>
  <c r="D21" i="7"/>
  <c r="F20" i="7"/>
  <c r="E20" i="7"/>
  <c r="D20" i="7"/>
  <c r="F19" i="7"/>
  <c r="E19" i="7"/>
  <c r="D19" i="7"/>
  <c r="F18" i="7"/>
  <c r="E18" i="7"/>
  <c r="D18" i="7"/>
  <c r="F17" i="7"/>
  <c r="E17" i="7"/>
  <c r="D17" i="7"/>
  <c r="F16" i="7"/>
  <c r="E16" i="7"/>
  <c r="D16" i="7"/>
  <c r="F15" i="7"/>
  <c r="E15" i="7"/>
  <c r="D15" i="7"/>
  <c r="F14" i="7"/>
  <c r="E14" i="7"/>
  <c r="D14" i="7"/>
  <c r="F13" i="7"/>
  <c r="E13" i="7"/>
  <c r="D13" i="7"/>
  <c r="F11" i="7"/>
  <c r="E11" i="7"/>
  <c r="D11" i="7"/>
  <c r="F10" i="7"/>
  <c r="E10" i="7"/>
  <c r="D10" i="7"/>
  <c r="F9" i="7"/>
  <c r="E9" i="7"/>
  <c r="D9" i="7"/>
  <c r="F8" i="7"/>
  <c r="E8" i="7"/>
  <c r="D8" i="7"/>
  <c r="F7" i="7"/>
  <c r="E7" i="7"/>
  <c r="D7" i="7"/>
  <c r="G13" i="7" l="1"/>
  <c r="G17" i="7"/>
  <c r="G21" i="7"/>
  <c r="G27" i="7"/>
  <c r="G8" i="7"/>
  <c r="G34" i="7"/>
  <c r="G38" i="7"/>
  <c r="G11" i="7"/>
  <c r="G16" i="7"/>
  <c r="G20" i="7"/>
  <c r="G26" i="7"/>
  <c r="G33" i="7"/>
  <c r="E12" i="7"/>
  <c r="E39" i="7" s="1"/>
  <c r="E68" i="7" s="1"/>
  <c r="E73" i="7" s="1"/>
  <c r="E75" i="7" s="1"/>
  <c r="F12" i="7"/>
  <c r="G10" i="7"/>
  <c r="G15" i="7"/>
  <c r="G19" i="7"/>
  <c r="G25" i="7"/>
  <c r="G32" i="7"/>
  <c r="D12" i="7"/>
  <c r="D39" i="7" s="1"/>
  <c r="D68" i="7" s="1"/>
  <c r="D73" i="7" s="1"/>
  <c r="D75" i="7" s="1"/>
  <c r="G9" i="7"/>
  <c r="G14" i="7"/>
  <c r="G18" i="7"/>
  <c r="G22" i="7"/>
  <c r="G29" i="7"/>
  <c r="G31" i="7"/>
  <c r="G35" i="7"/>
  <c r="G7" i="7"/>
  <c r="G12" i="7" l="1"/>
  <c r="F39" i="7"/>
  <c r="G39" i="7" s="1"/>
  <c r="F68" i="7" l="1"/>
  <c r="F73" i="7" s="1"/>
  <c r="G68" i="7" l="1"/>
  <c r="F75" i="7"/>
  <c r="G75" i="7" s="1"/>
  <c r="G73" i="7"/>
  <c r="H45" i="4" l="1"/>
  <c r="H44" i="4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G35" i="4"/>
  <c r="H35" i="4" s="1"/>
  <c r="G34" i="4"/>
  <c r="H34" i="4" s="1"/>
  <c r="G33" i="4"/>
  <c r="H33" i="4" s="1"/>
  <c r="G30" i="4"/>
  <c r="H30" i="4" s="1"/>
  <c r="G19" i="4"/>
  <c r="H19" i="4" s="1"/>
  <c r="G17" i="4"/>
  <c r="H17" i="4" s="1"/>
  <c r="G16" i="4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43" i="4" l="1"/>
  <c r="G32" i="4"/>
  <c r="G20" i="4"/>
  <c r="G22" i="4" l="1"/>
  <c r="G31" i="4"/>
  <c r="F27" i="4"/>
  <c r="G66" i="4" l="1"/>
  <c r="F44" i="5"/>
  <c r="F43" i="5"/>
  <c r="G43" i="5" s="1"/>
  <c r="E57" i="5"/>
  <c r="D57" i="5"/>
  <c r="C57" i="5"/>
  <c r="F56" i="5"/>
  <c r="G56" i="5" s="1"/>
  <c r="F54" i="5"/>
  <c r="G54" i="5" s="1"/>
  <c r="G48" i="5"/>
  <c r="F46" i="5"/>
  <c r="F42" i="5"/>
  <c r="F41" i="5" s="1"/>
  <c r="G41" i="5" s="1"/>
  <c r="E41" i="5"/>
  <c r="F40" i="5"/>
  <c r="G40" i="5" s="1"/>
  <c r="F39" i="5"/>
  <c r="G39" i="5" s="1"/>
  <c r="F38" i="5"/>
  <c r="G38" i="5" s="1"/>
  <c r="F37" i="5"/>
  <c r="F36" i="5"/>
  <c r="G36" i="5" s="1"/>
  <c r="F35" i="5"/>
  <c r="G35" i="5" s="1"/>
  <c r="F34" i="5"/>
  <c r="G34" i="5" s="1"/>
  <c r="D34" i="5"/>
  <c r="C34" i="5"/>
  <c r="F33" i="5"/>
  <c r="F32" i="5"/>
  <c r="G32" i="5" s="1"/>
  <c r="F31" i="5"/>
  <c r="G31" i="5" s="1"/>
  <c r="F30" i="5"/>
  <c r="G30" i="5" s="1"/>
  <c r="E29" i="5"/>
  <c r="D29" i="5"/>
  <c r="D28" i="5" s="1"/>
  <c r="C29" i="5"/>
  <c r="E28" i="5"/>
  <c r="E47" i="5" s="1"/>
  <c r="E49" i="5" s="1"/>
  <c r="E62" i="5" s="1"/>
  <c r="E63" i="5" s="1"/>
  <c r="C28" i="5"/>
  <c r="F27" i="5"/>
  <c r="G27" i="5" s="1"/>
  <c r="D27" i="5"/>
  <c r="F26" i="5"/>
  <c r="G26" i="5" s="1"/>
  <c r="D26" i="5"/>
  <c r="C26" i="5"/>
  <c r="C47" i="5" s="1"/>
  <c r="C49" i="5" s="1"/>
  <c r="C62" i="5" s="1"/>
  <c r="E21" i="5"/>
  <c r="E61" i="5" s="1"/>
  <c r="G20" i="5"/>
  <c r="E19" i="5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D13" i="5"/>
  <c r="C13" i="5"/>
  <c r="F12" i="5"/>
  <c r="G12" i="5" s="1"/>
  <c r="F11" i="5"/>
  <c r="G11" i="5" s="1"/>
  <c r="C11" i="5"/>
  <c r="F10" i="5"/>
  <c r="G10" i="5" s="1"/>
  <c r="D10" i="5"/>
  <c r="C10" i="5"/>
  <c r="F9" i="5"/>
  <c r="G9" i="5" s="1"/>
  <c r="D9" i="5"/>
  <c r="C9" i="5"/>
  <c r="F8" i="5"/>
  <c r="G8" i="5" s="1"/>
  <c r="F7" i="5"/>
  <c r="G7" i="5" s="1"/>
  <c r="D7" i="5"/>
  <c r="C7" i="5"/>
  <c r="F6" i="5"/>
  <c r="G6" i="5" s="1"/>
  <c r="D6" i="5"/>
  <c r="F5" i="5"/>
  <c r="D5" i="5"/>
  <c r="D19" i="5" s="1"/>
  <c r="D21" i="5" s="1"/>
  <c r="D61" i="5" s="1"/>
  <c r="C5" i="5"/>
  <c r="C19" i="5" s="1"/>
  <c r="C21" i="5" s="1"/>
  <c r="C61" i="5" s="1"/>
  <c r="F46" i="4"/>
  <c r="F45" i="4"/>
  <c r="F44" i="4"/>
  <c r="F43" i="4" l="1"/>
  <c r="F19" i="5"/>
  <c r="F21" i="5" s="1"/>
  <c r="C63" i="5"/>
  <c r="D47" i="5"/>
  <c r="D49" i="5" s="1"/>
  <c r="D62" i="5" s="1"/>
  <c r="D63" i="5" s="1"/>
  <c r="F57" i="5"/>
  <c r="G57" i="5" s="1"/>
  <c r="F29" i="5"/>
  <c r="G42" i="5"/>
  <c r="G5" i="5"/>
  <c r="G19" i="5" l="1"/>
  <c r="F61" i="5"/>
  <c r="G21" i="5"/>
  <c r="G29" i="5"/>
  <c r="F28" i="5"/>
  <c r="F47" i="5" s="1"/>
  <c r="G28" i="5" l="1"/>
  <c r="G47" i="5" l="1"/>
  <c r="F49" i="5"/>
  <c r="F62" i="5" l="1"/>
  <c r="F63" i="5" s="1"/>
  <c r="F59" i="5" s="1"/>
  <c r="G49" i="5"/>
  <c r="F42" i="4" l="1"/>
  <c r="F41" i="4" l="1"/>
  <c r="F30" i="4" l="1"/>
  <c r="E61" i="4" l="1"/>
  <c r="H61" i="4" s="1"/>
  <c r="D61" i="4"/>
  <c r="C61" i="4"/>
  <c r="F56" i="4"/>
  <c r="F48" i="4"/>
  <c r="E43" i="4"/>
  <c r="H43" i="4" s="1"/>
  <c r="F40" i="4"/>
  <c r="F39" i="4"/>
  <c r="F38" i="4"/>
  <c r="F37" i="4"/>
  <c r="D37" i="4"/>
  <c r="D32" i="4" s="1"/>
  <c r="D31" i="4" s="1"/>
  <c r="C37" i="4"/>
  <c r="C32" i="4" s="1"/>
  <c r="C31" i="4" s="1"/>
  <c r="F36" i="4"/>
  <c r="F35" i="4"/>
  <c r="F34" i="4"/>
  <c r="F33" i="4"/>
  <c r="E32" i="4"/>
  <c r="H32" i="4" s="1"/>
  <c r="E31" i="4"/>
  <c r="D30" i="4"/>
  <c r="D27" i="4"/>
  <c r="C27" i="4"/>
  <c r="E20" i="4"/>
  <c r="H20" i="4" s="1"/>
  <c r="F19" i="4"/>
  <c r="F18" i="4"/>
  <c r="F17" i="4"/>
  <c r="F15" i="4"/>
  <c r="F14" i="4"/>
  <c r="F13" i="4"/>
  <c r="D13" i="4"/>
  <c r="C13" i="4"/>
  <c r="F12" i="4"/>
  <c r="F11" i="4"/>
  <c r="C11" i="4"/>
  <c r="F10" i="4"/>
  <c r="D10" i="4"/>
  <c r="C10" i="4"/>
  <c r="F9" i="4"/>
  <c r="D9" i="4"/>
  <c r="C9" i="4"/>
  <c r="F8" i="4"/>
  <c r="F7" i="4"/>
  <c r="D7" i="4"/>
  <c r="C7" i="4"/>
  <c r="F6" i="4"/>
  <c r="D6" i="4"/>
  <c r="D5" i="4"/>
  <c r="C5" i="4"/>
  <c r="E49" i="4" l="1"/>
  <c r="H31" i="4"/>
  <c r="E22" i="4"/>
  <c r="E51" i="4"/>
  <c r="E67" i="4" s="1"/>
  <c r="D20" i="4"/>
  <c r="D22" i="4" s="1"/>
  <c r="D66" i="4" s="1"/>
  <c r="C49" i="4"/>
  <c r="C51" i="4" s="1"/>
  <c r="C67" i="4" s="1"/>
  <c r="C20" i="4"/>
  <c r="C22" i="4" s="1"/>
  <c r="C66" i="4" s="1"/>
  <c r="F32" i="4"/>
  <c r="F61" i="4"/>
  <c r="F20" i="4"/>
  <c r="F22" i="4" s="1"/>
  <c r="F66" i="4" s="1"/>
  <c r="D49" i="4"/>
  <c r="D51" i="4" s="1"/>
  <c r="D67" i="4" s="1"/>
  <c r="D68" i="4" s="1"/>
  <c r="E66" i="4" l="1"/>
  <c r="E68" i="4" s="1"/>
  <c r="H22" i="4"/>
  <c r="C68" i="4"/>
  <c r="F31" i="4"/>
  <c r="F49" i="4" s="1"/>
  <c r="F51" i="4" l="1"/>
  <c r="F67" i="4" s="1"/>
  <c r="F68" i="4" l="1"/>
  <c r="F63" i="4" s="1"/>
  <c r="G27" i="4" l="1"/>
  <c r="H27" i="4" s="1"/>
  <c r="G49" i="4" l="1"/>
  <c r="G51" i="4" l="1"/>
  <c r="H49" i="4"/>
  <c r="G67" i="4" l="1"/>
  <c r="G68" i="4" s="1"/>
  <c r="G63" i="4" s="1"/>
  <c r="H51" i="4"/>
</calcChain>
</file>

<file path=xl/comments1.xml><?xml version="1.0" encoding="utf-8"?>
<comments xmlns="http://schemas.openxmlformats.org/spreadsheetml/2006/main">
  <authors>
    <author>Fidrová Olga</author>
  </authors>
  <commentList>
    <comment ref="B58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změna textu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něco špatně</t>
        </r>
      </text>
    </comment>
  </commentList>
</comments>
</file>

<file path=xl/sharedStrings.xml><?xml version="1.0" encoding="utf-8"?>
<sst xmlns="http://schemas.openxmlformats.org/spreadsheetml/2006/main" count="992" uniqueCount="576">
  <si>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</si>
  <si>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</si>
  <si>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</si>
  <si>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</si>
  <si>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</si>
  <si>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</si>
  <si>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</si>
  <si>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Příjmy z prodeje</t>
  </si>
  <si>
    <t>Příjmy z úroků</t>
  </si>
  <si>
    <t>Neinvestiční přijaté dotace ze státního rozpočtu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</si>
  <si>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</si>
  <si>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</si>
  <si>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</si>
  <si>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</si>
  <si>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</si>
  <si>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</si>
  <si>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</si>
  <si>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>Fond sociálních potřeb</t>
  </si>
  <si>
    <t>Výdaje Olomouckého kraje celkem</t>
  </si>
  <si>
    <t>Příjmy Olomouckého kraje celkem (po konsolidaci)</t>
  </si>
  <si>
    <t>Splátky úvěrů</t>
  </si>
  <si>
    <t xml:space="preserve">Změna stavu krátkodobých prostředků na bankovních účtech </t>
  </si>
  <si>
    <t>Financování celkem</t>
  </si>
  <si>
    <t xml:space="preserve">strana </t>
  </si>
  <si>
    <t xml:space="preserve"> </t>
  </si>
  <si>
    <t>Rekapitulace</t>
  </si>
  <si>
    <t>Zastupitelé</t>
  </si>
  <si>
    <t>Odbor ekonomický</t>
  </si>
  <si>
    <t>Odbor životního prostředí a zemědělství</t>
  </si>
  <si>
    <t>Odbor sociálních věcí</t>
  </si>
  <si>
    <t>Odbor dopravy a silničního hospodářství</t>
  </si>
  <si>
    <t>Odbor zdravotnictví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</si>
  <si>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</si>
  <si>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</si>
  <si>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</si>
  <si>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</si>
  <si>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</si>
  <si>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Výdaje Olomouckého kraje celkem (po konsolidaci)</t>
  </si>
  <si>
    <t>Příjmy Olomouckého kraje</t>
  </si>
  <si>
    <t>VÝDAJE OLOMOUCKÉHO KRAJE</t>
  </si>
  <si>
    <t xml:space="preserve">PŘÍJMY OLOMOUCKÉHO KRAJE </t>
  </si>
  <si>
    <t>z toho: příspěvek na provoz</t>
  </si>
  <si>
    <t xml:space="preserve">            příspěvek na provoz - odpisy</t>
  </si>
  <si>
    <t xml:space="preserve">            příspěvek na provoz - mzdové náklady</t>
  </si>
  <si>
    <t xml:space="preserve">           příspěvek na provoz - ostatní</t>
  </si>
  <si>
    <t>FINANCOVÁNÍ</t>
  </si>
  <si>
    <t xml:space="preserve">Příjmy včetně financování </t>
  </si>
  <si>
    <t xml:space="preserve">Výdaje včetně financování </t>
  </si>
  <si>
    <t>Rozdíl</t>
  </si>
  <si>
    <t>Odbor kancelář ředitele</t>
  </si>
  <si>
    <t xml:space="preserve">Odbor podpory řízení příspěvkových organizací </t>
  </si>
  <si>
    <t>Příjmy z poskytnutých služeb a výrobků</t>
  </si>
  <si>
    <t xml:space="preserve">           příspěvek na provoz - účelově určený příspěvek </t>
  </si>
  <si>
    <t xml:space="preserve">           rezerva pro PO </t>
  </si>
  <si>
    <t>Dotační programy / tituly</t>
  </si>
  <si>
    <t>a) rozpracované z rozpočtu OK</t>
  </si>
  <si>
    <t>c) nové z rozpočtu OK</t>
  </si>
  <si>
    <t>Odbor strategického rozvoje kraje</t>
  </si>
  <si>
    <t>Odbor  kontroly</t>
  </si>
  <si>
    <t>a) Odbory Krajského úřadu Olomouckého kraje</t>
  </si>
  <si>
    <t>b) dotační programy / tituly</t>
  </si>
  <si>
    <t>c) Příspěvkové organizace zřizované Olomouckým krajem</t>
  </si>
  <si>
    <t>d) Fond sociálních potřeb</t>
  </si>
  <si>
    <t>e) Fond na podporu výstavby a obnovy vodohospodářské infrastruktury na území Olomouckého kraje</t>
  </si>
  <si>
    <t>Opravy, investice a projekty</t>
  </si>
  <si>
    <t xml:space="preserve">Příspěvkové organizace - celkem </t>
  </si>
  <si>
    <t xml:space="preserve">a) Příspěvkové organizace - provozní výdaje </t>
  </si>
  <si>
    <t>Rezerva pro příspěvkové organizace</t>
  </si>
  <si>
    <t xml:space="preserve">4. Financování </t>
  </si>
  <si>
    <t>b) splátky úvěrů</t>
  </si>
  <si>
    <t>a) Příspěvkové organizace v oblasti školství</t>
  </si>
  <si>
    <t>133</t>
  </si>
  <si>
    <t>b) Příspěvkové organizace v oblasti sociálních věcí</t>
  </si>
  <si>
    <t>134</t>
  </si>
  <si>
    <t>c) Příspěvkové organizace v oblasti dopravy</t>
  </si>
  <si>
    <t>135</t>
  </si>
  <si>
    <t>d) Příspěvkové organizace v oblasti kultury</t>
  </si>
  <si>
    <t>136</t>
  </si>
  <si>
    <t>e) Příspěvkové organizace v oblasti zdravotnictví</t>
  </si>
  <si>
    <t>137</t>
  </si>
  <si>
    <t>Skutečnost 2015</t>
  </si>
  <si>
    <t>Skutečnost 2016</t>
  </si>
  <si>
    <t xml:space="preserve">Odbory </t>
  </si>
  <si>
    <t>b) projekty z dotace</t>
  </si>
  <si>
    <t>Odbor informačních technologií</t>
  </si>
  <si>
    <t>Odbor školství a mládeže</t>
  </si>
  <si>
    <t>Odbor sportu, kultury a památkové péče</t>
  </si>
  <si>
    <t>Odbor investic</t>
  </si>
  <si>
    <t>Odbor kancelář hejtmana</t>
  </si>
  <si>
    <t>Dlouhodobé přijaté půjčené prostředky</t>
  </si>
  <si>
    <t>5=4/3</t>
  </si>
  <si>
    <t xml:space="preserve">7. Závazné ukazatele příspěvkových organizací </t>
  </si>
  <si>
    <t>Individuální dotace - odbor ekonomický</t>
  </si>
  <si>
    <t>Odbor majetkový, právní a správních činností</t>
  </si>
  <si>
    <t>b) Investiční příspěvek - nákupy do sbírek muzejní povahy</t>
  </si>
  <si>
    <t>c) Příspěvek na provoz - dopravní obslužnost</t>
  </si>
  <si>
    <t>Ostatní příjmy</t>
  </si>
  <si>
    <t>Rozdíl (nekryto rozpočtem)</t>
  </si>
  <si>
    <t>tis.Kč</t>
  </si>
  <si>
    <t xml:space="preserve">d) plán nákupů </t>
  </si>
  <si>
    <t>Investiční transfery od obcí</t>
  </si>
  <si>
    <t>60</t>
  </si>
  <si>
    <t>61</t>
  </si>
  <si>
    <t>6. Očekávané plnění k 31.12.2019</t>
  </si>
  <si>
    <t>134-135</t>
  </si>
  <si>
    <t>138</t>
  </si>
  <si>
    <t>139</t>
  </si>
  <si>
    <t>140</t>
  </si>
  <si>
    <t>Schválený rozpočet 2020</t>
  </si>
  <si>
    <t>Nárh rozpočtu 2021</t>
  </si>
  <si>
    <t>1. Bilance příjmů, výdajů a financování Olomouckého kraje na rok 2021</t>
  </si>
  <si>
    <t xml:space="preserve">    Investiční příspěvek - účelově určený příspěvek</t>
  </si>
  <si>
    <t xml:space="preserve"> z toho: předfinancování </t>
  </si>
  <si>
    <t>2. Příjmy Olomouckého kraje na rok 2021</t>
  </si>
  <si>
    <t>Příjmy Olomouckého kraje na rok 2021</t>
  </si>
  <si>
    <t>Návrh daňových příjmů Olomouckého kraje na rok 2021</t>
  </si>
  <si>
    <t xml:space="preserve">Příjmy Olomouckého kraje na rok 2021 - přehled za odbory </t>
  </si>
  <si>
    <t>Příjmy Olomouckého kraje na rok 2021 - odvody příspěvkových organizací</t>
  </si>
  <si>
    <t>3. Výdaje Olomouckého kraje na rok 2021</t>
  </si>
  <si>
    <t>28-31</t>
  </si>
  <si>
    <t>73</t>
  </si>
  <si>
    <t>85</t>
  </si>
  <si>
    <t>5. Financování oprav, investičních akcí a projektů v roce 2021</t>
  </si>
  <si>
    <t xml:space="preserve">Ostatní investiční přijaté transfery ze státního rozpočtu  </t>
  </si>
  <si>
    <t>6=4/3</t>
  </si>
  <si>
    <t>a) Příjmy Olomouckého kraje</t>
  </si>
  <si>
    <t>v tis.Kč</t>
  </si>
  <si>
    <t>§</t>
  </si>
  <si>
    <t xml:space="preserve">pol. </t>
  </si>
  <si>
    <t>Název seskupení položek</t>
  </si>
  <si>
    <t>Upravený rozpočet k 
30. 9. 2020</t>
  </si>
  <si>
    <t>Návrh rozpočtu 2021</t>
  </si>
  <si>
    <t>7=6/4</t>
  </si>
  <si>
    <t>Daň z příjmů fyzických osob placená plátci</t>
  </si>
  <si>
    <t>Daň z příjmů fyzických osob placená poplatníky</t>
  </si>
  <si>
    <t>Daň z příjmů fyzických osob vybíraná srážkou</t>
  </si>
  <si>
    <t xml:space="preserve">Daň z příjmů právnických osob (bez placení obcemi) </t>
  </si>
  <si>
    <t xml:space="preserve">Daň z přidané hodnoty </t>
  </si>
  <si>
    <t>mezisoučet - daňové příjmy</t>
  </si>
  <si>
    <t xml:space="preserve"> -</t>
  </si>
  <si>
    <t>Ostatní příjmy z vlastní činnosti</t>
  </si>
  <si>
    <t>Příjmy z pronájmu pozemků</t>
  </si>
  <si>
    <t>Příjmy z pronájmu ostatních nemovitostí a jejich částí</t>
  </si>
  <si>
    <t>Příjmy z pronájmu movitých věcí</t>
  </si>
  <si>
    <t xml:space="preserve">Sankční platby přijaté od státu, obcí a krajů    </t>
  </si>
  <si>
    <t>Sankční platby přijaté od jiných subjektů</t>
  </si>
  <si>
    <t>Ostatní příjmy z finančního vypořádání předchozích let od jiných veřejných rozpočtů</t>
  </si>
  <si>
    <t xml:space="preserve">Příjmy z prodeje krátkodobého a drobného dlouhodobého majetku </t>
  </si>
  <si>
    <t>Přijaté neinvestiční dary</t>
  </si>
  <si>
    <t>Přijaté nekapitálové příspěvky a náhrady</t>
  </si>
  <si>
    <t xml:space="preserve">Ostatní nedaňové příjmy jinde nezařazené    </t>
  </si>
  <si>
    <t xml:space="preserve">Ostatní nedaňové příjmy jinde nazařazené </t>
  </si>
  <si>
    <t>Splátky půjčených prostředků od podnikatelských nefinančních subjetků - právnických osob</t>
  </si>
  <si>
    <t>Splátky půjčených prostředků od obecně prospěšných společností a podobných subjektů</t>
  </si>
  <si>
    <t>Příjmy z prodeje pozemků</t>
  </si>
  <si>
    <t xml:space="preserve">Příjmy z prodeje ostatních nemovitostí a jejich částí </t>
  </si>
  <si>
    <t xml:space="preserve">Příjmy z prodeje ostatního hmotného dlouhodobého majetku </t>
  </si>
  <si>
    <t>Neinvestiční přijaté dotace ze státního rozpočtu v rámci souhrnného dotačního vztahu</t>
  </si>
  <si>
    <t xml:space="preserve">Investiční transfery od obcí    </t>
  </si>
  <si>
    <t>Celkem</t>
  </si>
  <si>
    <t>b) Fond sociálních potřeb</t>
  </si>
  <si>
    <t>Položka</t>
  </si>
  <si>
    <t>Název položky</t>
  </si>
  <si>
    <t>Převody z rozpočtových účtů</t>
  </si>
  <si>
    <t>c) Fond na podporu výstavby a obnovy vodohospodářské infrastruktury na území Olomouckého kraje</t>
  </si>
  <si>
    <t>Poplatky za znečišťování ovzduší</t>
  </si>
  <si>
    <t>Poplatek za odebrané množství podzemní vody</t>
  </si>
  <si>
    <t>Platby za odebrané množství podzemní vody</t>
  </si>
  <si>
    <t>Rekapitulace:</t>
  </si>
  <si>
    <t>Příjmy Olomouckého kraje celkem (po konsolidaci*)</t>
  </si>
  <si>
    <t>Konsolidace je očištění údajů v rozpočtu o interní přesuny peněžních prostředků uvnitř organizace mezi jednotlivými účty.</t>
  </si>
  <si>
    <t>Poznámka: v části upravený rozpočet a skutečnost nejsou uvedeny všechny položky, protože nejsou součástí schváleného rozpočtu.</t>
  </si>
  <si>
    <t>1a) PŘÍJMY OLOMOUCKÉHO KRAJE NA ROK 2021</t>
  </si>
  <si>
    <t>Odbor (kancelář)</t>
  </si>
  <si>
    <t>ORJ</t>
  </si>
  <si>
    <t>3a</t>
  </si>
  <si>
    <t>3b</t>
  </si>
  <si>
    <t>6=5/3</t>
  </si>
  <si>
    <t xml:space="preserve">Odbor majetkový, právní a správních činností </t>
  </si>
  <si>
    <t xml:space="preserve">Odbor informačních technologií </t>
  </si>
  <si>
    <t xml:space="preserve">Odbor ekonomický  </t>
  </si>
  <si>
    <t xml:space="preserve">Odbor životního prostředí a zemědělství </t>
  </si>
  <si>
    <t xml:space="preserve">Odbor sociálních věcí </t>
  </si>
  <si>
    <t xml:space="preserve">Odbor dopravy a silničního hospodářství </t>
  </si>
  <si>
    <t xml:space="preserve">Odbor zdravotnictví </t>
  </si>
  <si>
    <t xml:space="preserve">Odbor kontroly </t>
  </si>
  <si>
    <t>Výdaje odborů - provozní výdaje</t>
  </si>
  <si>
    <t>1b) Výdaje Olomouckého kraje na rok 2021</t>
  </si>
  <si>
    <t xml:space="preserve">Odbory Krajského úřadu Olomouckého kraje </t>
  </si>
  <si>
    <t xml:space="preserve">Odbor </t>
  </si>
  <si>
    <t>UZ</t>
  </si>
  <si>
    <t xml:space="preserve">Dotační program: </t>
  </si>
  <si>
    <t>01_01 Program na podporu podnikání 2021</t>
  </si>
  <si>
    <t xml:space="preserve">Dotační tituly: </t>
  </si>
  <si>
    <t>01_01_1 Podpora soutěží propagujících podnikatele</t>
  </si>
  <si>
    <t>01_01_2 Podpora poradenství pro podnikatele</t>
  </si>
  <si>
    <t>15_01 Program na podporu místních produktů 2021</t>
  </si>
  <si>
    <t>15_01_1 Podpora regionálního značení</t>
  </si>
  <si>
    <t>15_01_2 Podpora farmářských trhů</t>
  </si>
  <si>
    <t>02_01 Program obnovy venkova Olomouckého kraje 2021</t>
  </si>
  <si>
    <t>02_01_2 Podpora zpracování územně plánovací dokumentace</t>
  </si>
  <si>
    <t>02_01_1 Podpora budování a obnovy infrastruktury obce</t>
  </si>
  <si>
    <t>02_01_3 Podpora přípravy projektové dokumentace</t>
  </si>
  <si>
    <t>02_01_4 Rekonstrukce a oprava kulturních domů</t>
  </si>
  <si>
    <t>02_01_5 Podpora venkovských prodejen</t>
  </si>
  <si>
    <t>03_01 Dotace na podporu lesních ekosystémů 2020-2025</t>
  </si>
  <si>
    <t>03_02 Program na podporu včelařů na území Olomouckého kraje 2021</t>
  </si>
  <si>
    <t>03_02_1 Podpora začínajících včelařů</t>
  </si>
  <si>
    <t>03_02_2 Podpora stávajících včelařů</t>
  </si>
  <si>
    <t>04_02 Dotace obcím na území Olomouckého kraje na řešení mimořádných událostí v oblasti vodohospodářské infrastruktury 2021</t>
  </si>
  <si>
    <t>04_02_1 Řešení mimořádné situace na infrastruktuře vodovodů a kanalizací pro veřejnou potřebu</t>
  </si>
  <si>
    <t xml:space="preserve">04_02_2 Řešení mimořádné situace na vodních dílech a realizace opatření k předcházení a odstraňování následků povodní </t>
  </si>
  <si>
    <t>03_03 Program na podporu aktivit v oblasti životního prostředí a zemědělství 2021</t>
  </si>
  <si>
    <t>03_03_1 Podpora činnosti záchranných stanic pro handicapované živočichy</t>
  </si>
  <si>
    <t xml:space="preserve">03_03_2 Podpora akcí zaměřených na oblast životního prostředí a zemědělství a podpora činnosti zájmových spolků a organizací, předmětem jejichž činnosti je oblast životního prostředí a zemědělství </t>
  </si>
  <si>
    <t>05_02 Studijní stipendium Olomouckého kraje na studium v zahraničí v roce 2021</t>
  </si>
  <si>
    <t>05_04 Program na podporu práce s dětmi a mládeží v Olomouckém kraji v roce 2021</t>
  </si>
  <si>
    <t>05_03 Program na podporu environmentálního vzdělávání, výchovy a osvěty v Olomouckém kraji v roce 2021</t>
  </si>
  <si>
    <t>05_01 Program na podporu vzdělávání na vysokých školách v Olomouckém kraji v roce 2021</t>
  </si>
  <si>
    <t xml:space="preserve">05_01_1 Podpora rozvoje vysokoškolského vzdělávání na území Olomouckého kraje </t>
  </si>
  <si>
    <t>05_01_2 Podpora profesně zaměřených studijních programů na vysokých školách v Olomouckém kraji</t>
  </si>
  <si>
    <t>05_01_3 Podpora přípravy nových vzdělávacích programů na vysokých školách v Olomouckém kraji</t>
  </si>
  <si>
    <t>09_01 Dotační program pro sociální oblast 2021</t>
  </si>
  <si>
    <t>09_01_1 Podpora prevence kriminality</t>
  </si>
  <si>
    <t>09_01_2 Podpora integrace romských komunit</t>
  </si>
  <si>
    <t>09_01_3 Podpora prorodinných aktivit</t>
  </si>
  <si>
    <t xml:space="preserve">09_01_4 Podpora aktivit směřujících k sociálnímu začleňování </t>
  </si>
  <si>
    <t>09_01_5 Podpora infrastruktury sociálních služeb na území Olomouckého kraje</t>
  </si>
  <si>
    <t>09_01_5 Podpora infrastruktury sociálních služeb na území Olomouckého 
kraje II</t>
  </si>
  <si>
    <t>09 -02 Program finanční podpory poskytování sociálních služeb v Olomouckém kraji - Podprogram č. 2</t>
  </si>
  <si>
    <t>10_01 Podpora výstavby a oprav cyklostezek 2021</t>
  </si>
  <si>
    <t>10_02 Podopora opatření pro zvýšení bezpečnosti provozu a budování přechodů pro chodce 2021</t>
  </si>
  <si>
    <t>10_03 Podpora výstavby, obnovy a vybavení dětských dopravních hřišť 2021</t>
  </si>
  <si>
    <t>oblast sportu:</t>
  </si>
  <si>
    <t>07_01 Program na podporu sportovní činnosti v Olomouckém kraji v roce 2021</t>
  </si>
  <si>
    <t>07_01_1 Podpora celoroční sportovní činnosti</t>
  </si>
  <si>
    <t xml:space="preserve">07_01_2 Podpora přípravy dětí a mládeže na vrcholový sport </t>
  </si>
  <si>
    <t>07_02 Program na podporu sportu v Olomouckém kraji v roce 2021</t>
  </si>
  <si>
    <t>07_02_1 Podpora sportovních akcí</t>
  </si>
  <si>
    <t>07_02_2 Dotace na získání ternérské licence</t>
  </si>
  <si>
    <t>07_02_4 Podpora reprezentantů ČR z Olomouckého kraje</t>
  </si>
  <si>
    <t xml:space="preserve">07_02_3 Podpora mládežnických reprezentantů ČR (do 21 let) z Olomouckého kraje </t>
  </si>
  <si>
    <t>07_03 Program na podporu volnočasových aktivit se zaměřením na tělovýchovu a rekreační sport v Olomouckém kraji v roce 2021</t>
  </si>
  <si>
    <t>07_04 Program na podporu sportovní činnosti dětí a mládeže v Olomouckém kraji v roce 2021</t>
  </si>
  <si>
    <t>07_05 Program na podporu handicapovaných sportovců v Olomouckém kraji v roce 2021</t>
  </si>
  <si>
    <t>07_07 Program na podporu výstavby a rekonstrukci sportovních zařízení v obcích v Olomouckém kraji  v roce 2021</t>
  </si>
  <si>
    <t>07_08 Program na podporu výstavby a rekonstrukci sportovních zařízení kofinancovaných z Národní sportovní agentury 2021</t>
  </si>
  <si>
    <t>07_07_2 Projekty na výstavbu a rekonstrukci sportovních zařízení kofinancované z MŠMT</t>
  </si>
  <si>
    <t>07_06 Program na podporu investičních akcí v oblasti sportu - technické a sportovní vybavení sportovních a tělovýchovných zařízení v Olomouckém kraji v roce 2021</t>
  </si>
  <si>
    <t xml:space="preserve">Víceletá podpora v oblasti sportu </t>
  </si>
  <si>
    <t>Víceletá podpora významných sportovních akcí</t>
  </si>
  <si>
    <t>Víceletá podpora sportovní činnosti</t>
  </si>
  <si>
    <t>oblast kultury a památkové péče:</t>
  </si>
  <si>
    <t>08_01 Program památkové péče v Olomouckém kraji v roce 2021</t>
  </si>
  <si>
    <t>08_01_1 Obnova kulturních památek</t>
  </si>
  <si>
    <t>08_01_2 Obnova staveb drobné architektury místního významu</t>
  </si>
  <si>
    <t>08_01_3 Obnova nemovitostí, které nejsou kulturní památkou, nacházejících se na území památkových rezervací a památkových zón</t>
  </si>
  <si>
    <t>06_01 Program podpory kultury v Olomouckém kraji v roce 2021</t>
  </si>
  <si>
    <t xml:space="preserve">Víceletá podpora významných kulturních akcí </t>
  </si>
  <si>
    <t>06_02 Program na podporu stálých profesionálních souborů v Olomouckém kraji v roce 2021</t>
  </si>
  <si>
    <t>06_04 Program na podporu investičních projektů v oblasti kultury v Olomouckém kraji v roce 2021</t>
  </si>
  <si>
    <t>06_04_1 Podpora výstavby a rekonstrukcí</t>
  </si>
  <si>
    <t>06_04_2 Podpora obnovy kulturního zázemí v investiční oblasti</t>
  </si>
  <si>
    <t>06_03 Program na podporu pořízení drobného majektu v oblasti kultury v Olomouckém kraji v roce 2021</t>
  </si>
  <si>
    <t>11_02 Program pro oblast protidrogové prevence v roce 2021</t>
  </si>
  <si>
    <t>11_02_1 Kontaktní a poradenské služby</t>
  </si>
  <si>
    <t>11_02_2 Terénní programy</t>
  </si>
  <si>
    <t>11_02_3 Ambulantní léčba</t>
  </si>
  <si>
    <t>11_02_4 Doléčovací programy</t>
  </si>
  <si>
    <t>11_02_5 Specifická selektivní a indikovaná prevence</t>
  </si>
  <si>
    <t>11_01 Program na podporu zdraví a zdravého životního stylu v roce 2021</t>
  </si>
  <si>
    <t xml:space="preserve">11_01_1 Podpora zdravotně-preventivních aktivit pro všechny skupiny obyvatel </t>
  </si>
  <si>
    <t>11_01_2 Podpora významných aktivit v oblasti zdravotnictví</t>
  </si>
  <si>
    <t>11_03 Program pro vzdělávání ve zdravotnictví v roce 2021</t>
  </si>
  <si>
    <t>11_04 Program pro celoživotní vzdělávání na LF UP v roce 2021</t>
  </si>
  <si>
    <t>12_01 Program na podporu poskytovatelů paliativní péče v roce 2021</t>
  </si>
  <si>
    <t>12_01_1 Podpora poskytovatelů lůžkové paliativní péče</t>
  </si>
  <si>
    <t>12_01_2 Podpora poskytovatelů domácí paliativní péče</t>
  </si>
  <si>
    <t>12_01_3 Podpora konferencí a odborných akcí v oblasti paliativní péče</t>
  </si>
  <si>
    <t>12_02 Program pro vzdělávání v paliativní péči v roce 2021</t>
  </si>
  <si>
    <t>12_02_1 Podpora specializačního vzdělávání lékařů v oblasti paliativní péče</t>
  </si>
  <si>
    <t>12_02_2 Podpora odborného vzdělávání nelékařských zdravotnických pracovníků v oblasti paliativní péče</t>
  </si>
  <si>
    <t>13_01 Program na podporu cestovního ruchu a zahraničních vztahů 2021</t>
  </si>
  <si>
    <t>13_01_1 Nadregionální akce cestovního ruchu</t>
  </si>
  <si>
    <t>13_01_2 Podpora rozvoje zahraničních vztahů Olomouckého kraje</t>
  </si>
  <si>
    <t>13_01_3 Podpora zkvalitnění služeb turistických informačních center v Olomouckém kraji</t>
  </si>
  <si>
    <t>13_01_4 Podpora rozvoje cestovního ruchu v Olomouckém kraji</t>
  </si>
  <si>
    <t>13_01_5 Podpora kinematografie v Olomouckém kraji</t>
  </si>
  <si>
    <t>13_01_4 Podpora rozvoje cestovního ruchu v Olomouckém kraji II</t>
  </si>
  <si>
    <t>14_02 Program na podporu JSDH 2021</t>
  </si>
  <si>
    <t>14_02_1 Dotace na pořízení, technické zhodnocení a opravu požární techniky, nákup věcného vybavení a zajištění akceschopnosti JSDH obcí Olomouckého kraje 2021</t>
  </si>
  <si>
    <t>14_02_2 Dotace na pořízení cisternových automobilových stříkaček a dopravních automobilů pro JSDH obcí Olomouckého kraje s dotací MV ČR  2021</t>
  </si>
  <si>
    <t>14_02_3 Dotace na zajištění akceschopnosti JSDH obcí Olomouckého kraje pro JPO II a JPO III 2020</t>
  </si>
  <si>
    <t>14_01 Dotace na činnost a akce spolků hasičů a pobočných spolků hasičů Olomouckého kraje 2021</t>
  </si>
  <si>
    <t>14_01_1 Dotace na akce spolků hasičů a pobočných spolků hasičů Olomouckého kraje 2021</t>
  </si>
  <si>
    <t>14_01_2 Dotace na činnost spolků hasičů a pobočných spolků hasičů Olomouckého kraje 2021</t>
  </si>
  <si>
    <t xml:space="preserve">Dotace celkem </t>
  </si>
  <si>
    <t xml:space="preserve">Všechny odbory </t>
  </si>
  <si>
    <t>Individuální dotace</t>
  </si>
  <si>
    <t xml:space="preserve">Individuální návratné finančních výpomoci </t>
  </si>
  <si>
    <t xml:space="preserve">oblast školství </t>
  </si>
  <si>
    <t>1c) Výdaje Olomouckého kraje na rok 2021</t>
  </si>
  <si>
    <t xml:space="preserve">Dotační programy / tituly </t>
  </si>
  <si>
    <t>ORJ - 19</t>
  </si>
  <si>
    <t>Srovnání (nárůst )</t>
  </si>
  <si>
    <t>Organizace</t>
  </si>
  <si>
    <t>SKUTEČNOST K 31.12.2015</t>
  </si>
  <si>
    <t>SCHVÁLENÝ ROZPOČET</t>
  </si>
  <si>
    <t>UPRAVENÝ ROZPOČET                    (k 30.9.2020)</t>
  </si>
  <si>
    <t>Očekávaná skutečnost k 31.12.2017</t>
  </si>
  <si>
    <t>NÁVRH ROZPOČTU</t>
  </si>
  <si>
    <t>nárůst/snížení v Kč</t>
  </si>
  <si>
    <t>nárůst/snížení v %</t>
  </si>
  <si>
    <t>sl.1</t>
  </si>
  <si>
    <t>sl.2</t>
  </si>
  <si>
    <t>sl.3b</t>
  </si>
  <si>
    <t>sl.3</t>
  </si>
  <si>
    <t>sl.4=sl.3-sl.1</t>
  </si>
  <si>
    <t>sl.5=sl.3/sl.1</t>
  </si>
  <si>
    <t>Organizace v oblasti školství</t>
  </si>
  <si>
    <t xml:space="preserve">a) příspěvek na provoz </t>
  </si>
  <si>
    <t>300</t>
  </si>
  <si>
    <t>b) příspěvek na provoz - mzdové náklady</t>
  </si>
  <si>
    <t>301</t>
  </si>
  <si>
    <t>c) příspěvek na provoz - odpisy</t>
  </si>
  <si>
    <t>302</t>
  </si>
  <si>
    <t>d) příspěvek na provoz - účelově určený příspěvek</t>
  </si>
  <si>
    <t>303</t>
  </si>
  <si>
    <t>e) příspěvek na provoz - nájemné</t>
  </si>
  <si>
    <t>304</t>
  </si>
  <si>
    <t>Organizace v oblasti sociální</t>
  </si>
  <si>
    <t>Organizace v oblasti dopravy</t>
  </si>
  <si>
    <t>1) Provozní příspěvky</t>
  </si>
  <si>
    <t>2) Dopravní obslužnost</t>
  </si>
  <si>
    <t>a) příspěvek na úhradu prokazatelné ztráty dopravcům - veřejná linková doprava</t>
  </si>
  <si>
    <t>130</t>
  </si>
  <si>
    <t xml:space="preserve">b) příspěvek na úhradu prokazatelné ztráty dopravcům  - drážní doprava </t>
  </si>
  <si>
    <t>132</t>
  </si>
  <si>
    <t xml:space="preserve">c) příspěvek na úhradu protarifovací ztráty - drážní  doprava </t>
  </si>
  <si>
    <t xml:space="preserve">d) příspěvek na úhradu prokazatelné ztráty - od obcí </t>
  </si>
  <si>
    <t>e) mezikrajské smlouvy na linkovou dopravu</t>
  </si>
  <si>
    <t>f) smlouvy na autobusovou dopravu</t>
  </si>
  <si>
    <t>Organizace v oblasti kultury</t>
  </si>
  <si>
    <t>f) příspěvek na provoz - záchr. archeolog. výzkum</t>
  </si>
  <si>
    <t>308</t>
  </si>
  <si>
    <t>REZERVA - záchr. archeologický výzkum</t>
  </si>
  <si>
    <t>2) Investiční příspěvky</t>
  </si>
  <si>
    <t>a) účelově určený příspěvek</t>
  </si>
  <si>
    <t>- nákupy do sbírek muzejní povahy</t>
  </si>
  <si>
    <t>309</t>
  </si>
  <si>
    <t>Organizace v oblasti zdravotnictví</t>
  </si>
  <si>
    <t xml:space="preserve">              -pol.6351</t>
  </si>
  <si>
    <t>Rezerva - PO OPŘPO</t>
  </si>
  <si>
    <t>307</t>
  </si>
  <si>
    <t>Rezerva pro PO - vybavení DM</t>
  </si>
  <si>
    <t>310</t>
  </si>
  <si>
    <t>Celkem příspěvkové organizace</t>
  </si>
  <si>
    <t xml:space="preserve">Účelové dotace ze státního rozpočtu </t>
  </si>
  <si>
    <t>g) REZERVA - záchr. archeologický výzkum</t>
  </si>
  <si>
    <t>h) rezerva pro PO</t>
  </si>
  <si>
    <t>i) rezerva pro PO - vybevení DM</t>
  </si>
  <si>
    <t>3) Dopravní obslužnost</t>
  </si>
  <si>
    <t>a)  příspěvek na úhradu prokazatelné ztráty dopravcům - veřejná linková doprava</t>
  </si>
  <si>
    <t>1d) Výdaje Olomouckého kraje na rok 2021</t>
  </si>
  <si>
    <t xml:space="preserve">Příspěvkové organizace zřizované Olomouckým krajem </t>
  </si>
  <si>
    <t>Peněžité dary pro zaměstnance KÚOK při příležitosti pracovního výročí.</t>
  </si>
  <si>
    <t>Ostatní neinvestiční transfery obyvatelstvu</t>
  </si>
  <si>
    <t>Peněžité dary - sociální výpomoc.</t>
  </si>
  <si>
    <t>Peněžité dary (narození dítěte, životní jubileum, odchod do starobního důchodu).</t>
  </si>
  <si>
    <t xml:space="preserve">Příspěvek na penzijní připojištění u penzijního fondu a životní pojištění zaměstnanců KÚOK.  Při výši tvorby FSP 4,0 % a stávající struktuře čerpání benefitů. 
</t>
  </si>
  <si>
    <t>§ 6172, seskupení pol. 54 - Neinvestiční transfery obyvatelstvu</t>
  </si>
  <si>
    <t>Výdaje na medaile v rámci Sportovního dne zaměstnanců KÚOK, vánoční kolekce, vánoční balíčky.</t>
  </si>
  <si>
    <t>Věcné dary</t>
  </si>
  <si>
    <t>Výdaje určené na pohoštění zaměstnanců KÚOK - Sportovní den a Zahradní slavnost, vánoční setkání.</t>
  </si>
  <si>
    <t>Pohoštění</t>
  </si>
  <si>
    <t xml:space="preserve">Příspěvek na závodní stravování - zaměstnanci KÚOK. 
</t>
  </si>
  <si>
    <t>Nákup ostatních služeb</t>
  </si>
  <si>
    <t xml:space="preserve">Osobní účty - zaměstnanci KÚOK. Při výši tvorby FSP 4,0 % a stávající struktuře čerpání benefitů. 
</t>
  </si>
  <si>
    <t>Nákup služeb v rámci sportovních, kulturních a společenských akcí zaměstnanců KÚOK.</t>
  </si>
  <si>
    <t>Nájemné prostor v rámci realizace sportovních, kulturních a společenských akcí pro zaměstnance KÚOK a jejich děti.</t>
  </si>
  <si>
    <t>Nájemné</t>
  </si>
  <si>
    <t xml:space="preserve">Poplatky za vedení účtu, úrazové pojištění zaměstannců v rámci Sportovního dne a Mezikrajských sportovních her. </t>
  </si>
  <si>
    <t>Služby peněžních ústavů</t>
  </si>
  <si>
    <t>Výdaje na drobný materiál (Sportovní den, Mikulášská besídka).</t>
  </si>
  <si>
    <t>Nákup materiálu</t>
  </si>
  <si>
    <t>§ 6172, seskupení pol. 51 - Neinvestiční nákupy a související výdaje</t>
  </si>
  <si>
    <t xml:space="preserve">Honoráře za umělecká vystoupení při společenských akcích, platby výkonným umělcům OSA.
</t>
  </si>
  <si>
    <t>Odměny za užití duševního vlastnictví</t>
  </si>
  <si>
    <t>§ 6172, seskupení pol. 50 - Platy a podobné a související výdaje</t>
  </si>
  <si>
    <t>Nespecifikovaná rezerva pro uvolněné členy ZOK.</t>
  </si>
  <si>
    <t>Nespecifikované rezervy</t>
  </si>
  <si>
    <t>§ 6113, seskupení pol. 59 - Ostatní neinvestiční výdaje</t>
  </si>
  <si>
    <t>Peněžité dary pro uvolněné členy ZOK(narození dítěte, životní jubileum, odchod do starobního důchodu).</t>
  </si>
  <si>
    <t>Příspěvek na penzijní připojištění u penzijního fondu a životní pojištění uvolněných členů ZOK.  Při  výši tvorby FSP 4,0 % a stávající struktuře čerpání benefitů.</t>
  </si>
  <si>
    <t>§ 6113, seskupení pol. 54 - Neinvestiční transfery obyvatelstvu</t>
  </si>
  <si>
    <t xml:space="preserve">
.  
</t>
  </si>
  <si>
    <t>Osobní účty pro uvolněné členy ZOK a příspěvek na stravné uvolněným členům ZOK.  Při výši tvorby FSP 4,0 % a stávající struktuře čerpání benefitů.</t>
  </si>
  <si>
    <t>Úrazové pojištění uvolněných členů ZOK v rámci konání Sportovního dne zaměstnanců KÚOK.</t>
  </si>
  <si>
    <t>§ 6113, seskupení pol. 51 - Neinvestiční nákupy a související výdaje</t>
  </si>
  <si>
    <t>Komentář:</t>
  </si>
  <si>
    <t>Neinvestiční transfery obyvatelstvu</t>
  </si>
  <si>
    <t>Neinvestiční nákupy a související výdaje</t>
  </si>
  <si>
    <t>Platy a podobné a související výdaje</t>
  </si>
  <si>
    <t>Ostatní neinvestiční výdaje</t>
  </si>
  <si>
    <t>seskupení položek</t>
  </si>
  <si>
    <t>vedoucí odboru kancelář ředitele</t>
  </si>
  <si>
    <t>Ing. Svatava Špalková</t>
  </si>
  <si>
    <t>Správce:</t>
  </si>
  <si>
    <t>ORJ - 199</t>
  </si>
  <si>
    <t>1e) Výdaje Olomouckého kraje na rok 2021</t>
  </si>
  <si>
    <t xml:space="preserve">Investiční transfery obcím </t>
  </si>
  <si>
    <t>§ 2334, seskupení pol. 63 - Investiční transfery</t>
  </si>
  <si>
    <t>§ 2310, seskupení pol. 63 - Investiční transfery</t>
  </si>
  <si>
    <t>§ 2321, seskupení pol. 63 - Investiční transfery</t>
  </si>
  <si>
    <t>04_01_3 Obnova environmentálních funkcí území  (UZ 472)</t>
  </si>
  <si>
    <t>04_01_2 Výstavba a dostavba vodovodů pro veřejnou potřebu a úpraven vod (UZ 471)</t>
  </si>
  <si>
    <t>04_01_1 Výstavba, dostavba, intenzifikace čistíren odpadních vod včetně kořenových čistíren odpadních vod a kanalizací  (UZ 470)</t>
  </si>
  <si>
    <t>04_01 Fond na podporu výstavby a obnovy vodohospodářské infrastruktury na území Olomouckého kraje 2021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</si>
  <si>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</si>
  <si>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>Investiční transfery obcím</t>
  </si>
  <si>
    <t>§ 2399, seskupení pol. 63 - Investiční transfery</t>
  </si>
  <si>
    <t>Investiční transfery</t>
  </si>
  <si>
    <t>vedoucí odboru životního prostředí a zemědělství</t>
  </si>
  <si>
    <t>Ing. Josef Veselský</t>
  </si>
  <si>
    <t>ORJ - 99</t>
  </si>
  <si>
    <t>1f) Výdaje Olomouckého kraje na rok 2021</t>
  </si>
  <si>
    <t>Oblast</t>
  </si>
  <si>
    <t>Název přílohy</t>
  </si>
  <si>
    <t xml:space="preserve">Předfinancování
 (EU a SR)            </t>
  </si>
  <si>
    <t>Předfinancování z rozpočtu OK</t>
  </si>
  <si>
    <t>IF PO</t>
  </si>
  <si>
    <t>Nájemné SMN</t>
  </si>
  <si>
    <t>Požadavky na rozpočet OK</t>
  </si>
  <si>
    <t>Celkové náklady         v roce 2021</t>
  </si>
  <si>
    <t>Oblast školství</t>
  </si>
  <si>
    <t>Rozpracované investice - realizace, opravy, PD (ORJ 17)</t>
  </si>
  <si>
    <t>Projekty spolufinancované z evropských fondů a národních fondů - realizace (ORJ 52)</t>
  </si>
  <si>
    <t>Projekty spolufinancované z evropských fondů a národních fondů - realizace (ORJ 59)</t>
  </si>
  <si>
    <t>Projekty spolufinancované z evropských fondů a národních fondů - realizace (ORJ 64)</t>
  </si>
  <si>
    <t>Oblast školství - součet</t>
  </si>
  <si>
    <t>Oblast sociální</t>
  </si>
  <si>
    <t>Projekty spolufinancované z evropských fondů a národních fondů - realizace (ORJ 60)</t>
  </si>
  <si>
    <t>Oblast sociální - součet</t>
  </si>
  <si>
    <t>Oblast dopravy</t>
  </si>
  <si>
    <t>Rozpracované investice - realizace, PD, cyklostezky (ORJ 17)</t>
  </si>
  <si>
    <t>Projekty spolufinancované z evropských fondů a národních fondů - realizace (ORJ 50)</t>
  </si>
  <si>
    <t>Projekty spolufinancované z evropských fondů a národních fondů - realizace (SSOK)</t>
  </si>
  <si>
    <t>Investice - realizace SFDI (SSOK)</t>
  </si>
  <si>
    <t>Oblast dopravy- součet</t>
  </si>
  <si>
    <t>Oblast kultury</t>
  </si>
  <si>
    <t>Investice, opravy a nákupy - nové nákupy (ORJ 19)</t>
  </si>
  <si>
    <t>Oblast kultury - součet</t>
  </si>
  <si>
    <t>Oblast zdravotnictví</t>
  </si>
  <si>
    <t>Rozpracované investice - SMN - realizace, opravy, PD (ORJ 17)</t>
  </si>
  <si>
    <t>Rozpracované investice - nákup  (ORJ 19)</t>
  </si>
  <si>
    <t>Nové investice a opravy hrazené z rozpočtu (ORJ 19)</t>
  </si>
  <si>
    <t>Projekty spolufinancované z evropských fondů a národních fondů - realizace - SMN (ORJ 52)</t>
  </si>
  <si>
    <t>Oblast zdravotnictví - součet</t>
  </si>
  <si>
    <t>Oblast cestovního ruchu</t>
  </si>
  <si>
    <t xml:space="preserve">Projekty spolufinancované z evropských fondů a národních fondů - realizace (ORJ 59) </t>
  </si>
  <si>
    <t>Oblast cestovního ruchu - součet</t>
  </si>
  <si>
    <t>Oblast životního prostředí</t>
  </si>
  <si>
    <t>Oblast životního prostředí - součet</t>
  </si>
  <si>
    <t>Oblast územního plánování, regionálního rozvoje a rozvoje lidských zdrojů</t>
  </si>
  <si>
    <t>Projekty spolufinancované z evropských fondů a národních fondů - realizace (ORJ 74)</t>
  </si>
  <si>
    <t>Projekty spolufinancované z evropských fondů a národních fondů - realizace (ORJ 76)</t>
  </si>
  <si>
    <t>Projekty spolufinancované z evropských fondů a národních fondů - realizace (ORJ 30)</t>
  </si>
  <si>
    <t>Oblast územního plánování, regionáního rozvoje a rozvoje lidských zdrojů - součet</t>
  </si>
  <si>
    <t>Oblast KÚOK</t>
  </si>
  <si>
    <t>Investiční akce Odboru Kancelář ředitele (ORJ 3)</t>
  </si>
  <si>
    <t>Investiční nákupy Odboru informačních technologií (ORJ 6)</t>
  </si>
  <si>
    <t>Oblast KÚOK - součet</t>
  </si>
  <si>
    <t>CELKEM</t>
  </si>
  <si>
    <t>rozpracované fyzicky</t>
  </si>
  <si>
    <t>rozpracovaná PD</t>
  </si>
  <si>
    <t>vysoutěženo, nezahájeno</t>
  </si>
  <si>
    <t>soutěží se</t>
  </si>
  <si>
    <t>nevysoutěženo, nezahájeno</t>
  </si>
  <si>
    <t>Investice pod čarou</t>
  </si>
  <si>
    <t>rozpracované z rozpočtu OK</t>
  </si>
  <si>
    <t>projekty z dotace</t>
  </si>
  <si>
    <t>nové z rozpočtu OK</t>
  </si>
  <si>
    <t xml:space="preserve">plán nákupů </t>
  </si>
  <si>
    <t>1h) Financování oprav, investičních akcí a projektů v roce 2021</t>
  </si>
  <si>
    <t xml:space="preserve">Návrh rozpočtu 2021
</t>
  </si>
  <si>
    <t>Dlouhodobé přijaté půjčené prostředky (revolvingový úvěr II)</t>
  </si>
  <si>
    <t>Splátky úvěrů - dle splátkového kalendáře</t>
  </si>
  <si>
    <t>Splátky úvěrů - revolvingový úvěr II</t>
  </si>
  <si>
    <t xml:space="preserve">Rekapitulace: </t>
  </si>
  <si>
    <t>Odbory - provozní výdaje</t>
  </si>
  <si>
    <t>Odbory - platy a podobné související výdaje (ORJ 01 a 03)</t>
  </si>
  <si>
    <t xml:space="preserve">Celkem </t>
  </si>
  <si>
    <t>z toho: Odbory - provozní výdaje</t>
  </si>
  <si>
    <t>Financování z tuzemska</t>
  </si>
  <si>
    <t>pol.  8115 - Změna stavu krátkodobých prostředků na bankovních účtech kromě účtů státních finančních aktiv, které tvoří kapitolu OSFA</t>
  </si>
  <si>
    <t>1. Zapojení nevyčerpaných finančních prostředků určených na nákup materiálu v souvislostí s pandeimíí COVID - 19.</t>
  </si>
  <si>
    <t>2. Zapojení nevyčerpaných finančních prostředků určených na financování akcí SMN - a.s.</t>
  </si>
  <si>
    <t>3. Zapojení nevyčerpaných finančních prostředků z roku 2020 (přeplnění daňových příjmů)</t>
  </si>
  <si>
    <t xml:space="preserve">pol.  8123 - Dlouhodobé přijaté půjčené prostředky </t>
  </si>
  <si>
    <t>1. Čerpání revolvingového úvěru II u Komerční banky, a.s.</t>
  </si>
  <si>
    <t>2. Čerpání úvěru u Komerční banky, a.s.</t>
  </si>
  <si>
    <t xml:space="preserve">1g) Financování </t>
  </si>
  <si>
    <t>Upravený rozpočet k 
30.9. 2020</t>
  </si>
  <si>
    <t>Financování ze zahraničí</t>
  </si>
  <si>
    <t>seskupení pol.81 - Financování z tuzemska</t>
  </si>
  <si>
    <t>Uhrazené splátky dlouhodobých přijatých půjčených prostředků</t>
  </si>
  <si>
    <t xml:space="preserve">Splátka úvěru Komerční banky, a.s. na investiční projekty Olomouckého kraje.  </t>
  </si>
  <si>
    <t>Splátka úvěru Komerční banky, a.s.  na kofinancování evropských programů</t>
  </si>
  <si>
    <t xml:space="preserve">Splátka revolgingového úvěru u Komerční banky (propad příjmů) </t>
  </si>
  <si>
    <t>seskupení pol.82 - Financování ze zahraničí</t>
  </si>
  <si>
    <t>Splátka úvěru Evrospké investiční banky na projekt "Modernizace silniční sítě".</t>
  </si>
  <si>
    <t xml:space="preserve">Splátka úvěrového rámce od Evropské investiční banky na spolufinancování evropských programů a investičních akcí Olomouckého kraje.  </t>
  </si>
  <si>
    <t>2. Splátky úvěrů</t>
  </si>
  <si>
    <t>1. Zapojení zůstatku na bankovních účtech z minulého období  a zapojení úvěrů</t>
  </si>
  <si>
    <t xml:space="preserve">Návrh rozpočtu 2021
 </t>
  </si>
  <si>
    <t xml:space="preserve">            Odbory - platy a podobné související výdaje 
            (ORJ 01 a 03)</t>
  </si>
  <si>
    <t xml:space="preserve">Dlouhodobé přijaté půjčené prostředky (úvěr - investiční) </t>
  </si>
  <si>
    <t>a) Příjmy Olomouckého kraje - rekapitulace</t>
  </si>
  <si>
    <t>7</t>
  </si>
  <si>
    <t>b) Výdaje Olomouckého kraje - rekapitulace</t>
  </si>
  <si>
    <t>c) Dotační programy/tituly - rekapitulace</t>
  </si>
  <si>
    <t>d) Příspěvkové organizace - rekapitulace</t>
  </si>
  <si>
    <t>e) Fond sociálních potřeba</t>
  </si>
  <si>
    <t>f) Fond na podporu výstavby a obnovy vodohospodářské infrastruktury na území Olomouckého kraje</t>
  </si>
  <si>
    <t xml:space="preserve">g) Financování </t>
  </si>
  <si>
    <t xml:space="preserve">h) Financování oprav, investičních akcí a projektů </t>
  </si>
  <si>
    <t>a) zapojení zůstatků na bankovních účtech z minulého období a zapojení úvěrů</t>
  </si>
  <si>
    <t>8-9</t>
  </si>
  <si>
    <t>10</t>
  </si>
  <si>
    <t>11-13</t>
  </si>
  <si>
    <t>14</t>
  </si>
  <si>
    <t>15-16</t>
  </si>
  <si>
    <t>17</t>
  </si>
  <si>
    <t>18</t>
  </si>
  <si>
    <t>19</t>
  </si>
  <si>
    <t>20-21</t>
  </si>
  <si>
    <t>22</t>
  </si>
  <si>
    <t>23-27</t>
  </si>
  <si>
    <t>32</t>
  </si>
  <si>
    <t>33-35</t>
  </si>
  <si>
    <t>36-39</t>
  </si>
  <si>
    <t>40-41</t>
  </si>
  <si>
    <t>42</t>
  </si>
  <si>
    <t>43</t>
  </si>
  <si>
    <t>44-48</t>
  </si>
  <si>
    <t>49-51</t>
  </si>
  <si>
    <t>52-54</t>
  </si>
  <si>
    <t>55-57</t>
  </si>
  <si>
    <t>58</t>
  </si>
  <si>
    <t>59</t>
  </si>
  <si>
    <t>62-66</t>
  </si>
  <si>
    <t>67-68</t>
  </si>
  <si>
    <t>69</t>
  </si>
  <si>
    <t>70-72</t>
  </si>
  <si>
    <t>74</t>
  </si>
  <si>
    <t>75</t>
  </si>
  <si>
    <t>76</t>
  </si>
  <si>
    <t>77</t>
  </si>
  <si>
    <t>78-80</t>
  </si>
  <si>
    <t>81-82</t>
  </si>
  <si>
    <t>83</t>
  </si>
  <si>
    <t>86</t>
  </si>
  <si>
    <t>87-94</t>
  </si>
  <si>
    <t>95-96</t>
  </si>
  <si>
    <t>97-98</t>
  </si>
  <si>
    <t>99-100</t>
  </si>
  <si>
    <t>101-102</t>
  </si>
  <si>
    <t>103-104</t>
  </si>
  <si>
    <t>105</t>
  </si>
  <si>
    <t>6. Očekávané plnění rozpočtu Olomouckého kraje k 31.12.2020</t>
  </si>
  <si>
    <t xml:space="preserve">Seznam příloh: </t>
  </si>
  <si>
    <t>1. Návrh rozpočtu Olomouckého kraje na rok 2021 (bilance) - zkrácená verze</t>
  </si>
  <si>
    <t>108-143</t>
  </si>
  <si>
    <t>144-145</t>
  </si>
  <si>
    <t>146-150</t>
  </si>
  <si>
    <t xml:space="preserve">Návrh rozpočtu na rok 2021 je předkládán jako nevyrovnaný, kde ve zdrojích chybí částka ve výši 400 000 tis. Kč.  Za předpokladu, že schválena v ROK a ZOK Smlouva o revolvingovém úvěru v celkové výši 1 000 000 tis. Kč, bude v rámci financování (zdroj) doplněna částka ve výši 400 000 tis. Kč.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</si>
</sst>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"/>
    <numFmt numFmtId="165" formatCode="0.0"/>
    <numFmt numFmtId="166" formatCode="00"/>
    <numFmt numFmtId="167" formatCode="0\-00"/>
    <numFmt numFmtId="168" formatCode="\+#,##0"/>
    <numFmt numFmtId="169" formatCode="\-\ "/>
    <numFmt numFmtId="170" formatCode="_-* #,##0.00\ _K_č_-;\-* #,##0.00\ _K_č_-;_-* &quot;-&quot;??\ _K_č_-;_-@_-"/>
    <numFmt numFmtId="171" formatCode="#,##0.0\ &quot;Kč&quot;"/>
    <numFmt numFmtId="172" formatCode="#,##0.000"/>
    <numFmt numFmtId="173" formatCode="#,##0_\&quot;tis.Kč&quot;"/>
  </numFmts>
  <fonts count="61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i/>
      <sz val="11"/>
      <color rgb="FF0070C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0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.5"/>
      <name val="Arial"/>
      <family val="2"/>
      <charset val="238"/>
    </font>
    <font>
      <sz val="13"/>
      <name val="Arial"/>
      <family val="2"/>
      <charset val="238"/>
    </font>
    <font>
      <sz val="13"/>
      <color rgb="FFFF0000"/>
      <name val="Arial"/>
      <family val="2"/>
      <charset val="238"/>
    </font>
    <font>
      <sz val="10"/>
      <name val="Arial CE"/>
      <charset val="238"/>
    </font>
    <font>
      <sz val="9.5"/>
      <name val="Arial"/>
      <family val="2"/>
      <charset val="238"/>
    </font>
    <font>
      <sz val="10"/>
      <color rgb="FFFFFF00"/>
      <name val="Arial"/>
      <family val="2"/>
      <charset val="238"/>
    </font>
    <font>
      <sz val="11"/>
      <color rgb="FFFFFF00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5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8"/>
      <name val="Arial"/>
      <family val="2"/>
      <charset val="238"/>
    </font>
    <font>
      <b/>
      <sz val="15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8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1">
    <xf numFmtId="0" fontId="0" fillId="0" borderId="0"/>
    <xf numFmtId="0" fontId="25" fillId="0" borderId="0"/>
    <xf numFmtId="170" fontId="8" fillId="0" borderId="0" applyFont="0" applyFill="0" applyBorder="0" applyAlignment="0" applyProtection="0"/>
    <xf numFmtId="0" fontId="24" fillId="0" borderId="0"/>
    <xf numFmtId="0" fontId="8" fillId="0" borderId="0"/>
    <xf numFmtId="0" fontId="37" fillId="0" borderId="0"/>
    <xf numFmtId="0" fontId="24" fillId="0" borderId="0"/>
    <xf numFmtId="0" fontId="8" fillId="0" borderId="0">
      <alignment wrapText="1"/>
    </xf>
    <xf numFmtId="0" fontId="8" fillId="0" borderId="0"/>
    <xf numFmtId="0" fontId="8" fillId="0" borderId="0"/>
    <xf numFmtId="0" fontId="8" fillId="0" borderId="0"/>
  </cellStyleXfs>
  <cellXfs count="115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/>
    </xf>
    <xf numFmtId="164" fontId="6" fillId="0" borderId="13" xfId="0" applyNumberFormat="1" applyFont="1" applyFill="1" applyBorder="1"/>
    <xf numFmtId="0" fontId="6" fillId="0" borderId="16" xfId="0" applyFont="1" applyFill="1" applyBorder="1" applyAlignment="1">
      <alignment horizontal="center"/>
    </xf>
    <xf numFmtId="0" fontId="6" fillId="0" borderId="15" xfId="0" applyFont="1" applyFill="1" applyBorder="1"/>
    <xf numFmtId="0" fontId="6" fillId="0" borderId="15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/>
    </xf>
    <xf numFmtId="3" fontId="0" fillId="0" borderId="0" xfId="0" applyNumberFormat="1" applyFill="1"/>
    <xf numFmtId="0" fontId="0" fillId="0" borderId="7" xfId="0" applyFill="1" applyBorder="1" applyAlignment="1"/>
    <xf numFmtId="0" fontId="8" fillId="0" borderId="0" xfId="0" applyFont="1" applyFill="1"/>
    <xf numFmtId="3" fontId="6" fillId="2" borderId="17" xfId="0" applyNumberFormat="1" applyFont="1" applyFill="1" applyBorder="1"/>
    <xf numFmtId="3" fontId="6" fillId="2" borderId="17" xfId="0" applyNumberFormat="1" applyFont="1" applyFill="1" applyBorder="1" applyAlignment="1">
      <alignment vertical="center"/>
    </xf>
    <xf numFmtId="0" fontId="7" fillId="0" borderId="22" xfId="0" applyFont="1" applyFill="1" applyBorder="1"/>
    <xf numFmtId="3" fontId="2" fillId="2" borderId="23" xfId="0" applyNumberFormat="1" applyFont="1" applyFill="1" applyBorder="1"/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/>
    </xf>
    <xf numFmtId="3" fontId="11" fillId="0" borderId="0" xfId="0" applyNumberFormat="1" applyFont="1" applyFill="1"/>
    <xf numFmtId="0" fontId="7" fillId="3" borderId="2" xfId="0" applyFont="1" applyFill="1" applyBorder="1" applyAlignment="1">
      <alignment vertical="center"/>
    </xf>
    <xf numFmtId="0" fontId="5" fillId="3" borderId="36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3" fontId="14" fillId="2" borderId="17" xfId="0" applyNumberFormat="1" applyFont="1" applyFill="1" applyBorder="1" applyAlignment="1">
      <alignment horizontal="left"/>
    </xf>
    <xf numFmtId="164" fontId="14" fillId="0" borderId="13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/>
    <xf numFmtId="3" fontId="6" fillId="2" borderId="30" xfId="0" applyNumberFormat="1" applyFont="1" applyFill="1" applyBorder="1"/>
    <xf numFmtId="3" fontId="14" fillId="2" borderId="17" xfId="0" applyNumberFormat="1" applyFont="1" applyFill="1" applyBorder="1" applyAlignment="1">
      <alignment horizontal="right"/>
    </xf>
    <xf numFmtId="3" fontId="6" fillId="2" borderId="10" xfId="0" applyNumberFormat="1" applyFont="1" applyFill="1" applyBorder="1"/>
    <xf numFmtId="0" fontId="15" fillId="0" borderId="0" xfId="0" applyFont="1" applyFill="1"/>
    <xf numFmtId="0" fontId="8" fillId="2" borderId="0" xfId="0" applyFont="1" applyFill="1" applyAlignment="1">
      <alignment horizontal="right"/>
    </xf>
    <xf numFmtId="49" fontId="8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right"/>
    </xf>
    <xf numFmtId="167" fontId="8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168" fontId="8" fillId="0" borderId="0" xfId="0" applyNumberFormat="1" applyFont="1" applyFill="1"/>
    <xf numFmtId="168" fontId="5" fillId="0" borderId="0" xfId="0" applyNumberFormat="1" applyFont="1" applyFill="1" applyAlignment="1">
      <alignment horizontal="center"/>
    </xf>
    <xf numFmtId="164" fontId="6" fillId="0" borderId="13" xfId="0" applyNumberFormat="1" applyFont="1" applyFill="1" applyBorder="1" applyAlignment="1">
      <alignment horizontal="right"/>
    </xf>
    <xf numFmtId="0" fontId="15" fillId="2" borderId="0" xfId="0" applyFont="1" applyFill="1"/>
    <xf numFmtId="0" fontId="8" fillId="2" borderId="0" xfId="0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0" fontId="6" fillId="0" borderId="41" xfId="0" applyFont="1" applyFill="1" applyBorder="1" applyAlignment="1">
      <alignment horizontal="center"/>
    </xf>
    <xf numFmtId="0" fontId="6" fillId="0" borderId="17" xfId="0" applyFont="1" applyFill="1" applyBorder="1"/>
    <xf numFmtId="0" fontId="14" fillId="0" borderId="17" xfId="0" applyFont="1" applyFill="1" applyBorder="1"/>
    <xf numFmtId="0" fontId="14" fillId="0" borderId="39" xfId="0" applyFont="1" applyFill="1" applyBorder="1"/>
    <xf numFmtId="0" fontId="0" fillId="0" borderId="0" xfId="0" applyFill="1" applyAlignment="1"/>
    <xf numFmtId="0" fontId="1" fillId="0" borderId="0" xfId="0" applyFont="1" applyFill="1" applyAlignment="1"/>
    <xf numFmtId="164" fontId="6" fillId="0" borderId="13" xfId="0" applyNumberFormat="1" applyFont="1" applyFill="1" applyBorder="1" applyAlignment="1">
      <alignment horizontal="left"/>
    </xf>
    <xf numFmtId="0" fontId="4" fillId="2" borderId="7" xfId="0" applyFont="1" applyFill="1" applyBorder="1"/>
    <xf numFmtId="0" fontId="12" fillId="2" borderId="0" xfId="0" applyFont="1" applyFill="1"/>
    <xf numFmtId="0" fontId="7" fillId="2" borderId="0" xfId="0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166" fontId="8" fillId="2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/>
    <xf numFmtId="0" fontId="13" fillId="2" borderId="0" xfId="0" applyFont="1" applyFill="1"/>
    <xf numFmtId="0" fontId="7" fillId="2" borderId="0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9" xfId="0" applyFont="1" applyFill="1" applyBorder="1"/>
    <xf numFmtId="168" fontId="16" fillId="0" borderId="0" xfId="0" applyNumberFormat="1" applyFont="1" applyFill="1"/>
    <xf numFmtId="3" fontId="16" fillId="0" borderId="0" xfId="0" applyNumberFormat="1" applyFont="1" applyFill="1"/>
    <xf numFmtId="0" fontId="16" fillId="0" borderId="0" xfId="0" applyFont="1" applyFill="1"/>
    <xf numFmtId="3" fontId="16" fillId="0" borderId="0" xfId="0" applyNumberFormat="1" applyFont="1" applyFill="1" applyAlignment="1"/>
    <xf numFmtId="0" fontId="16" fillId="0" borderId="0" xfId="0" applyFont="1" applyFill="1" applyAlignment="1"/>
    <xf numFmtId="0" fontId="11" fillId="0" borderId="0" xfId="0" applyFont="1" applyFill="1"/>
    <xf numFmtId="3" fontId="17" fillId="0" borderId="0" xfId="0" applyNumberFormat="1" applyFont="1" applyFill="1"/>
    <xf numFmtId="0" fontId="17" fillId="0" borderId="0" xfId="0" applyFont="1" applyFill="1"/>
    <xf numFmtId="164" fontId="6" fillId="0" borderId="13" xfId="0" applyNumberFormat="1" applyFont="1" applyFill="1" applyBorder="1" applyAlignment="1">
      <alignment vertical="center"/>
    </xf>
    <xf numFmtId="168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168" fontId="15" fillId="0" borderId="0" xfId="0" applyNumberFormat="1" applyFont="1" applyFill="1"/>
    <xf numFmtId="3" fontId="15" fillId="0" borderId="0" xfId="0" applyNumberFormat="1" applyFont="1" applyFill="1"/>
    <xf numFmtId="3" fontId="14" fillId="0" borderId="39" xfId="0" applyNumberFormat="1" applyFont="1" applyFill="1" applyBorder="1" applyAlignment="1">
      <alignment horizontal="left"/>
    </xf>
    <xf numFmtId="164" fontId="14" fillId="0" borderId="13" xfId="0" applyNumberFormat="1" applyFont="1" applyFill="1" applyBorder="1" applyAlignment="1">
      <alignment horizontal="right"/>
    </xf>
    <xf numFmtId="0" fontId="6" fillId="0" borderId="12" xfId="0" applyFont="1" applyFill="1" applyBorder="1"/>
    <xf numFmtId="164" fontId="6" fillId="2" borderId="13" xfId="0" applyNumberFormat="1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0" fontId="18" fillId="0" borderId="0" xfId="0" applyFont="1" applyFill="1"/>
    <xf numFmtId="3" fontId="6" fillId="2" borderId="25" xfId="0" applyNumberFormat="1" applyFont="1" applyFill="1" applyBorder="1"/>
    <xf numFmtId="3" fontId="2" fillId="3" borderId="32" xfId="0" applyNumberFormat="1" applyFont="1" applyFill="1" applyBorder="1"/>
    <xf numFmtId="0" fontId="6" fillId="0" borderId="31" xfId="0" applyFont="1" applyFill="1" applyBorder="1"/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wrapText="1"/>
    </xf>
    <xf numFmtId="3" fontId="4" fillId="3" borderId="2" xfId="0" applyNumberFormat="1" applyFont="1" applyFill="1" applyBorder="1" applyAlignment="1">
      <alignment horizontal="center" vertical="center"/>
    </xf>
    <xf numFmtId="3" fontId="15" fillId="2" borderId="0" xfId="0" applyNumberFormat="1" applyFont="1" applyFill="1"/>
    <xf numFmtId="0" fontId="6" fillId="0" borderId="9" xfId="0" applyFont="1" applyFill="1" applyBorder="1"/>
    <xf numFmtId="3" fontId="6" fillId="0" borderId="10" xfId="0" applyNumberFormat="1" applyFont="1" applyFill="1" applyBorder="1" applyAlignment="1"/>
    <xf numFmtId="3" fontId="6" fillId="0" borderId="17" xfId="0" applyNumberFormat="1" applyFont="1" applyFill="1" applyBorder="1" applyAlignment="1"/>
    <xf numFmtId="3" fontId="6" fillId="0" borderId="17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/>
    <xf numFmtId="0" fontId="6" fillId="0" borderId="17" xfId="0" applyFont="1" applyFill="1" applyBorder="1" applyAlignment="1">
      <alignment wrapText="1"/>
    </xf>
    <xf numFmtId="0" fontId="2" fillId="0" borderId="22" xfId="0" applyFont="1" applyFill="1" applyBorder="1"/>
    <xf numFmtId="3" fontId="2" fillId="0" borderId="23" xfId="0" applyNumberFormat="1" applyFont="1" applyFill="1" applyBorder="1" applyAlignment="1"/>
    <xf numFmtId="0" fontId="6" fillId="0" borderId="22" xfId="0" applyFont="1" applyFill="1" applyBorder="1"/>
    <xf numFmtId="3" fontId="6" fillId="0" borderId="23" xfId="0" applyNumberFormat="1" applyFont="1" applyFill="1" applyBorder="1" applyAlignment="1"/>
    <xf numFmtId="0" fontId="6" fillId="0" borderId="0" xfId="0" applyFont="1" applyFill="1"/>
    <xf numFmtId="0" fontId="7" fillId="3" borderId="5" xfId="0" applyFont="1" applyFill="1" applyBorder="1" applyAlignment="1">
      <alignment horizontal="center"/>
    </xf>
    <xf numFmtId="0" fontId="7" fillId="3" borderId="36" xfId="0" applyFont="1" applyFill="1" applyBorder="1" applyAlignment="1">
      <alignment wrapText="1"/>
    </xf>
    <xf numFmtId="3" fontId="2" fillId="3" borderId="6" xfId="0" applyNumberFormat="1" applyFont="1" applyFill="1" applyBorder="1" applyAlignment="1"/>
    <xf numFmtId="0" fontId="6" fillId="0" borderId="18" xfId="0" applyFont="1" applyFill="1" applyBorder="1" applyAlignment="1">
      <alignment horizontal="center"/>
    </xf>
    <xf numFmtId="0" fontId="6" fillId="0" borderId="20" xfId="0" applyFont="1" applyFill="1" applyBorder="1"/>
    <xf numFmtId="3" fontId="6" fillId="2" borderId="20" xfId="0" applyNumberFormat="1" applyFont="1" applyFill="1" applyBorder="1"/>
    <xf numFmtId="168" fontId="6" fillId="0" borderId="0" xfId="0" applyNumberFormat="1" applyFont="1" applyFill="1"/>
    <xf numFmtId="3" fontId="6" fillId="0" borderId="0" xfId="0" applyNumberFormat="1" applyFont="1" applyFill="1"/>
    <xf numFmtId="0" fontId="2" fillId="3" borderId="27" xfId="0" applyFont="1" applyFill="1" applyBorder="1" applyAlignment="1">
      <alignment horizontal="center"/>
    </xf>
    <xf numFmtId="0" fontId="2" fillId="3" borderId="32" xfId="0" applyFont="1" applyFill="1" applyBorder="1"/>
    <xf numFmtId="165" fontId="2" fillId="3" borderId="29" xfId="0" applyNumberFormat="1" applyFont="1" applyFill="1" applyBorder="1"/>
    <xf numFmtId="168" fontId="2" fillId="3" borderId="0" xfId="0" applyNumberFormat="1" applyFont="1" applyFill="1"/>
    <xf numFmtId="3" fontId="2" fillId="3" borderId="0" xfId="0" applyNumberFormat="1" applyFont="1" applyFill="1"/>
    <xf numFmtId="0" fontId="2" fillId="3" borderId="0" xfId="0" applyFont="1" applyFill="1"/>
    <xf numFmtId="0" fontId="6" fillId="0" borderId="38" xfId="0" applyFont="1" applyFill="1" applyBorder="1" applyAlignment="1">
      <alignment horizontal="center"/>
    </xf>
    <xf numFmtId="0" fontId="6" fillId="0" borderId="30" xfId="0" applyFont="1" applyFill="1" applyBorder="1" applyAlignment="1">
      <alignment wrapText="1"/>
    </xf>
    <xf numFmtId="3" fontId="6" fillId="0" borderId="30" xfId="0" applyNumberFormat="1" applyFont="1" applyFill="1" applyBorder="1"/>
    <xf numFmtId="3" fontId="14" fillId="2" borderId="17" xfId="0" applyNumberFormat="1" applyFont="1" applyFill="1" applyBorder="1" applyAlignment="1">
      <alignment horizontal="left" vertical="center"/>
    </xf>
    <xf numFmtId="0" fontId="6" fillId="0" borderId="15" xfId="0" applyFont="1" applyFill="1" applyBorder="1" applyAlignment="1"/>
    <xf numFmtId="0" fontId="14" fillId="0" borderId="17" xfId="0" applyFont="1" applyFill="1" applyBorder="1" applyAlignment="1"/>
    <xf numFmtId="3" fontId="6" fillId="0" borderId="17" xfId="0" applyNumberFormat="1" applyFont="1" applyFill="1" applyBorder="1"/>
    <xf numFmtId="164" fontId="2" fillId="0" borderId="24" xfId="0" applyNumberFormat="1" applyFont="1" applyFill="1" applyBorder="1" applyAlignment="1">
      <alignment shrinkToFit="1"/>
    </xf>
    <xf numFmtId="164" fontId="6" fillId="0" borderId="26" xfId="0" applyNumberFormat="1" applyFont="1" applyFill="1" applyBorder="1"/>
    <xf numFmtId="164" fontId="2" fillId="3" borderId="29" xfId="0" applyNumberFormat="1" applyFont="1" applyFill="1" applyBorder="1"/>
    <xf numFmtId="0" fontId="14" fillId="0" borderId="40" xfId="0" applyFont="1" applyFill="1" applyBorder="1" applyAlignment="1"/>
    <xf numFmtId="165" fontId="6" fillId="0" borderId="47" xfId="0" applyNumberFormat="1" applyFont="1" applyFill="1" applyBorder="1"/>
    <xf numFmtId="165" fontId="6" fillId="0" borderId="48" xfId="0" applyNumberFormat="1" applyFont="1" applyFill="1" applyBorder="1"/>
    <xf numFmtId="165" fontId="6" fillId="0" borderId="49" xfId="0" applyNumberFormat="1" applyFont="1" applyFill="1" applyBorder="1"/>
    <xf numFmtId="0" fontId="19" fillId="3" borderId="46" xfId="0" applyFont="1" applyFill="1" applyBorder="1"/>
    <xf numFmtId="0" fontId="18" fillId="3" borderId="46" xfId="0" applyFont="1" applyFill="1" applyBorder="1"/>
    <xf numFmtId="3" fontId="19" fillId="3" borderId="46" xfId="0" applyNumberFormat="1" applyFont="1" applyFill="1" applyBorder="1"/>
    <xf numFmtId="0" fontId="18" fillId="3" borderId="0" xfId="0" applyFont="1" applyFill="1"/>
    <xf numFmtId="3" fontId="18" fillId="3" borderId="0" xfId="0" applyNumberFormat="1" applyFont="1" applyFill="1"/>
    <xf numFmtId="0" fontId="6" fillId="0" borderId="42" xfId="0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/>
    </xf>
    <xf numFmtId="168" fontId="15" fillId="0" borderId="0" xfId="0" applyNumberFormat="1" applyFont="1" applyFill="1" applyAlignment="1"/>
    <xf numFmtId="3" fontId="14" fillId="2" borderId="40" xfId="0" applyNumberFormat="1" applyFont="1" applyFill="1" applyBorder="1" applyAlignment="1">
      <alignment horizontal="left" vertical="center"/>
    </xf>
    <xf numFmtId="168" fontId="20" fillId="0" borderId="0" xfId="0" applyNumberFormat="1" applyFont="1" applyFill="1"/>
    <xf numFmtId="0" fontId="15" fillId="0" borderId="7" xfId="0" applyFont="1" applyFill="1" applyBorder="1" applyAlignment="1"/>
    <xf numFmtId="0" fontId="15" fillId="0" borderId="0" xfId="0" applyFont="1" applyFill="1" applyAlignment="1">
      <alignment horizontal="right"/>
    </xf>
    <xf numFmtId="3" fontId="4" fillId="3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/>
    <xf numFmtId="3" fontId="19" fillId="0" borderId="0" xfId="0" applyNumberFormat="1" applyFont="1" applyFill="1" applyBorder="1"/>
    <xf numFmtId="0" fontId="16" fillId="0" borderId="0" xfId="0" applyFont="1" applyFill="1" applyBorder="1"/>
    <xf numFmtId="3" fontId="16" fillId="0" borderId="0" xfId="0" applyNumberFormat="1" applyFont="1" applyFill="1" applyBorder="1"/>
    <xf numFmtId="164" fontId="6" fillId="0" borderId="34" xfId="0" applyNumberFormat="1" applyFont="1" applyFill="1" applyBorder="1"/>
    <xf numFmtId="164" fontId="6" fillId="0" borderId="43" xfId="0" applyNumberFormat="1" applyFont="1" applyFill="1" applyBorder="1"/>
    <xf numFmtId="0" fontId="15" fillId="0" borderId="0" xfId="0" applyFont="1" applyFill="1" applyAlignment="1"/>
    <xf numFmtId="3" fontId="15" fillId="0" borderId="0" xfId="0" applyNumberFormat="1" applyFont="1" applyFill="1" applyAlignment="1"/>
    <xf numFmtId="164" fontId="6" fillId="0" borderId="34" xfId="0" applyNumberFormat="1" applyFont="1" applyFill="1" applyBorder="1" applyAlignment="1">
      <alignment vertical="center"/>
    </xf>
    <xf numFmtId="3" fontId="15" fillId="0" borderId="0" xfId="0" applyNumberFormat="1" applyFont="1" applyFill="1" applyAlignment="1">
      <alignment vertical="center"/>
    </xf>
    <xf numFmtId="164" fontId="2" fillId="0" borderId="35" xfId="0" applyNumberFormat="1" applyFont="1" applyFill="1" applyBorder="1" applyAlignment="1">
      <alignment shrinkToFit="1"/>
    </xf>
    <xf numFmtId="0" fontId="21" fillId="0" borderId="0" xfId="0" applyFont="1" applyFill="1"/>
    <xf numFmtId="3" fontId="21" fillId="0" borderId="0" xfId="0" applyNumberFormat="1" applyFont="1" applyFill="1"/>
    <xf numFmtId="164" fontId="6" fillId="0" borderId="35" xfId="0" applyNumberFormat="1" applyFont="1" applyFill="1" applyBorder="1"/>
    <xf numFmtId="164" fontId="2" fillId="3" borderId="37" xfId="0" applyNumberFormat="1" applyFont="1" applyFill="1" applyBorder="1"/>
    <xf numFmtId="3" fontId="6" fillId="2" borderId="11" xfId="0" applyNumberFormat="1" applyFont="1" applyFill="1" applyBorder="1" applyAlignment="1">
      <alignment horizontal="right"/>
    </xf>
    <xf numFmtId="3" fontId="22" fillId="2" borderId="0" xfId="0" applyNumberFormat="1" applyFont="1" applyFill="1"/>
    <xf numFmtId="3" fontId="6" fillId="2" borderId="17" xfId="0" applyNumberFormat="1" applyFont="1" applyFill="1" applyBorder="1" applyAlignment="1"/>
    <xf numFmtId="164" fontId="6" fillId="2" borderId="17" xfId="0" applyNumberFormat="1" applyFont="1" applyFill="1" applyBorder="1"/>
    <xf numFmtId="3" fontId="6" fillId="0" borderId="23" xfId="0" applyNumberFormat="1" applyFont="1" applyFill="1" applyBorder="1"/>
    <xf numFmtId="3" fontId="6" fillId="2" borderId="15" xfId="0" applyNumberFormat="1" applyFont="1" applyFill="1" applyBorder="1" applyAlignment="1">
      <alignment vertical="center"/>
    </xf>
    <xf numFmtId="3" fontId="14" fillId="2" borderId="15" xfId="0" applyNumberFormat="1" applyFont="1" applyFill="1" applyBorder="1" applyAlignment="1">
      <alignment horizontal="left" vertical="center"/>
    </xf>
    <xf numFmtId="3" fontId="14" fillId="2" borderId="45" xfId="0" applyNumberFormat="1" applyFont="1" applyFill="1" applyBorder="1" applyAlignment="1">
      <alignment horizontal="left" vertical="center"/>
    </xf>
    <xf numFmtId="3" fontId="2" fillId="2" borderId="22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3" fontId="2" fillId="3" borderId="28" xfId="0" applyNumberFormat="1" applyFont="1" applyFill="1" applyBorder="1"/>
    <xf numFmtId="3" fontId="6" fillId="2" borderId="15" xfId="0" applyNumberFormat="1" applyFont="1" applyFill="1" applyBorder="1"/>
    <xf numFmtId="3" fontId="6" fillId="2" borderId="19" xfId="0" applyNumberFormat="1" applyFont="1" applyFill="1" applyBorder="1"/>
    <xf numFmtId="3" fontId="11" fillId="4" borderId="10" xfId="0" applyNumberFormat="1" applyFont="1" applyFill="1" applyBorder="1"/>
    <xf numFmtId="3" fontId="14" fillId="2" borderId="15" xfId="0" applyNumberFormat="1" applyFont="1" applyFill="1" applyBorder="1" applyAlignment="1">
      <alignment horizontal="right"/>
    </xf>
    <xf numFmtId="3" fontId="14" fillId="2" borderId="14" xfId="0" applyNumberFormat="1" applyFont="1" applyFill="1" applyBorder="1" applyAlignment="1">
      <alignment horizontal="left"/>
    </xf>
    <xf numFmtId="3" fontId="14" fillId="2" borderId="0" xfId="0" applyNumberFormat="1" applyFont="1" applyFill="1" applyBorder="1" applyAlignment="1">
      <alignment horizontal="left"/>
    </xf>
    <xf numFmtId="3" fontId="14" fillId="2" borderId="14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 vertical="center"/>
    </xf>
    <xf numFmtId="0" fontId="23" fillId="0" borderId="17" xfId="0" applyFont="1" applyFill="1" applyBorder="1" applyAlignment="1"/>
    <xf numFmtId="3" fontId="23" fillId="5" borderId="17" xfId="0" applyNumberFormat="1" applyFont="1" applyFill="1" applyBorder="1" applyAlignment="1">
      <alignment horizontal="left" vertical="center"/>
    </xf>
    <xf numFmtId="3" fontId="14" fillId="5" borderId="15" xfId="0" applyNumberFormat="1" applyFont="1" applyFill="1" applyBorder="1" applyAlignment="1">
      <alignment horizontal="left" vertical="center"/>
    </xf>
    <xf numFmtId="164" fontId="11" fillId="2" borderId="17" xfId="0" applyNumberFormat="1" applyFont="1" applyFill="1" applyBorder="1"/>
    <xf numFmtId="3" fontId="11" fillId="4" borderId="0" xfId="0" applyNumberFormat="1" applyFont="1" applyFill="1"/>
    <xf numFmtId="0" fontId="15" fillId="0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165" fontId="6" fillId="0" borderId="50" xfId="0" applyNumberFormat="1" applyFont="1" applyFill="1" applyBorder="1"/>
    <xf numFmtId="165" fontId="6" fillId="0" borderId="43" xfId="0" applyNumberFormat="1" applyFont="1" applyFill="1" applyBorder="1"/>
    <xf numFmtId="3" fontId="18" fillId="0" borderId="0" xfId="0" applyNumberFormat="1" applyFont="1" applyFill="1" applyBorder="1"/>
    <xf numFmtId="3" fontId="18" fillId="0" borderId="0" xfId="0" applyNumberFormat="1" applyFont="1" applyFill="1"/>
    <xf numFmtId="164" fontId="6" fillId="0" borderId="34" xfId="0" applyNumberFormat="1" applyFont="1" applyFill="1" applyBorder="1" applyAlignment="1">
      <alignment horizontal="right"/>
    </xf>
    <xf numFmtId="164" fontId="2" fillId="2" borderId="22" xfId="0" applyNumberFormat="1" applyFont="1" applyFill="1" applyBorder="1"/>
    <xf numFmtId="164" fontId="6" fillId="0" borderId="31" xfId="0" applyNumberFormat="1" applyFont="1" applyFill="1" applyBorder="1" applyAlignment="1">
      <alignment horizontal="right"/>
    </xf>
    <xf numFmtId="164" fontId="2" fillId="3" borderId="28" xfId="0" applyNumberFormat="1" applyFont="1" applyFill="1" applyBorder="1"/>
    <xf numFmtId="0" fontId="10" fillId="3" borderId="4" xfId="0" applyFont="1" applyFill="1" applyBorder="1" applyAlignment="1">
      <alignment horizontal="center"/>
    </xf>
    <xf numFmtId="4" fontId="8" fillId="0" borderId="0" xfId="1" applyNumberFormat="1" applyFont="1" applyFill="1"/>
    <xf numFmtId="0" fontId="8" fillId="0" borderId="0" xfId="1" applyFont="1" applyFill="1"/>
    <xf numFmtId="0" fontId="26" fillId="0" borderId="0" xfId="1" applyFont="1" applyFill="1" applyAlignment="1">
      <alignment horizontal="left"/>
    </xf>
    <xf numFmtId="0" fontId="27" fillId="0" borderId="0" xfId="1" applyFont="1" applyFill="1" applyAlignment="1">
      <alignment horizontal="left"/>
    </xf>
    <xf numFmtId="0" fontId="2" fillId="0" borderId="0" xfId="1" applyFont="1" applyFill="1"/>
    <xf numFmtId="0" fontId="8" fillId="0" borderId="0" xfId="1" applyFont="1" applyFill="1" applyAlignment="1">
      <alignment horizontal="right"/>
    </xf>
    <xf numFmtId="4" fontId="8" fillId="0" borderId="0" xfId="1" applyNumberFormat="1" applyFont="1" applyFill="1" applyAlignment="1">
      <alignment horizontal="right"/>
    </xf>
    <xf numFmtId="0" fontId="8" fillId="3" borderId="1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3" fontId="8" fillId="3" borderId="3" xfId="1" applyNumberFormat="1" applyFont="1" applyFill="1" applyBorder="1" applyAlignment="1">
      <alignment horizontal="center" vertical="center" wrapText="1"/>
    </xf>
    <xf numFmtId="3" fontId="28" fillId="3" borderId="3" xfId="1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29" fillId="0" borderId="0" xfId="1" applyFont="1" applyFill="1" applyAlignment="1">
      <alignment vertical="center"/>
    </xf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3" fontId="5" fillId="3" borderId="3" xfId="1" applyNumberFormat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/>
    </xf>
    <xf numFmtId="0" fontId="29" fillId="0" borderId="0" xfId="1" applyFont="1" applyFill="1" applyAlignment="1">
      <alignment horizontal="center" vertical="center"/>
    </xf>
    <xf numFmtId="169" fontId="11" fillId="0" borderId="51" xfId="1" applyNumberFormat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vertical="center" wrapText="1"/>
    </xf>
    <xf numFmtId="3" fontId="6" fillId="0" borderId="52" xfId="1" applyNumberFormat="1" applyFont="1" applyFill="1" applyBorder="1" applyAlignment="1">
      <alignment horizontal="right" vertical="center"/>
    </xf>
    <xf numFmtId="3" fontId="6" fillId="2" borderId="52" xfId="1" applyNumberFormat="1" applyFont="1" applyFill="1" applyBorder="1" applyAlignment="1">
      <alignment horizontal="right" vertical="center"/>
    </xf>
    <xf numFmtId="4" fontId="6" fillId="0" borderId="53" xfId="1" applyNumberFormat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169" fontId="11" fillId="0" borderId="54" xfId="1" applyNumberFormat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vertical="center" wrapText="1"/>
    </xf>
    <xf numFmtId="3" fontId="6" fillId="0" borderId="39" xfId="1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right" vertical="center"/>
    </xf>
    <xf numFmtId="4" fontId="6" fillId="0" borderId="26" xfId="1" applyNumberFormat="1" applyFont="1" applyFill="1" applyBorder="1" applyAlignment="1">
      <alignment vertical="center"/>
    </xf>
    <xf numFmtId="169" fontId="6" fillId="0" borderId="54" xfId="1" applyNumberFormat="1" applyFont="1" applyFill="1" applyBorder="1" applyAlignment="1">
      <alignment horizontal="center" vertical="center"/>
    </xf>
    <xf numFmtId="169" fontId="6" fillId="0" borderId="5" xfId="1" applyNumberFormat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6" xfId="1" applyFont="1" applyFill="1" applyBorder="1"/>
    <xf numFmtId="3" fontId="6" fillId="0" borderId="6" xfId="1" applyNumberFormat="1" applyFont="1" applyFill="1" applyBorder="1" applyAlignment="1">
      <alignment vertical="center"/>
    </xf>
    <xf numFmtId="4" fontId="6" fillId="0" borderId="55" xfId="1" applyNumberFormat="1" applyFont="1" applyFill="1" applyBorder="1" applyAlignment="1">
      <alignment vertical="center"/>
    </xf>
    <xf numFmtId="0" fontId="11" fillId="0" borderId="0" xfId="1" applyFont="1" applyFill="1"/>
    <xf numFmtId="169" fontId="30" fillId="3" borderId="1" xfId="1" applyNumberFormat="1" applyFont="1" applyFill="1" applyBorder="1" applyAlignment="1">
      <alignment horizontal="left"/>
    </xf>
    <xf numFmtId="0" fontId="30" fillId="3" borderId="3" xfId="1" applyFont="1" applyFill="1" applyBorder="1" applyAlignment="1">
      <alignment horizontal="center"/>
    </xf>
    <xf numFmtId="0" fontId="30" fillId="3" borderId="3" xfId="1" applyFont="1" applyFill="1" applyBorder="1"/>
    <xf numFmtId="3" fontId="30" fillId="3" borderId="6" xfId="1" applyNumberFormat="1" applyFont="1" applyFill="1" applyBorder="1" applyAlignment="1"/>
    <xf numFmtId="3" fontId="30" fillId="3" borderId="3" xfId="1" applyNumberFormat="1" applyFont="1" applyFill="1" applyBorder="1" applyAlignment="1"/>
    <xf numFmtId="4" fontId="30" fillId="3" borderId="55" xfId="2" applyNumberFormat="1" applyFont="1" applyFill="1" applyBorder="1" applyAlignment="1">
      <alignment vertical="center" shrinkToFit="1"/>
    </xf>
    <xf numFmtId="0" fontId="30" fillId="0" borderId="0" xfId="1" applyFont="1" applyFill="1"/>
    <xf numFmtId="0" fontId="31" fillId="0" borderId="0" xfId="1" applyFont="1" applyFill="1"/>
    <xf numFmtId="169" fontId="6" fillId="0" borderId="54" xfId="1" applyNumberFormat="1" applyFont="1" applyFill="1" applyBorder="1" applyAlignment="1">
      <alignment horizontal="center"/>
    </xf>
    <xf numFmtId="0" fontId="6" fillId="0" borderId="39" xfId="1" applyFont="1" applyFill="1" applyBorder="1" applyAlignment="1">
      <alignment horizontal="center"/>
    </xf>
    <xf numFmtId="0" fontId="6" fillId="0" borderId="39" xfId="1" applyFont="1" applyFill="1" applyBorder="1"/>
    <xf numFmtId="3" fontId="6" fillId="0" borderId="39" xfId="1" applyNumberFormat="1" applyFont="1" applyFill="1" applyBorder="1" applyAlignment="1"/>
    <xf numFmtId="3" fontId="6" fillId="2" borderId="39" xfId="1" applyNumberFormat="1" applyFont="1" applyFill="1" applyBorder="1" applyAlignment="1"/>
    <xf numFmtId="0" fontId="6" fillId="0" borderId="0" xfId="1" applyFont="1" applyFill="1"/>
    <xf numFmtId="0" fontId="6" fillId="0" borderId="54" xfId="1" applyFont="1" applyFill="1" applyBorder="1" applyAlignment="1">
      <alignment horizontal="center"/>
    </xf>
    <xf numFmtId="3" fontId="6" fillId="0" borderId="0" xfId="1" applyNumberFormat="1" applyFont="1" applyFill="1"/>
    <xf numFmtId="0" fontId="6" fillId="0" borderId="54" xfId="1" applyFont="1" applyFill="1" applyBorder="1" applyAlignment="1">
      <alignment horizontal="center" vertical="center"/>
    </xf>
    <xf numFmtId="164" fontId="6" fillId="0" borderId="39" xfId="1" applyNumberFormat="1" applyFont="1" applyFill="1" applyBorder="1" applyAlignment="1">
      <alignment vertical="center"/>
    </xf>
    <xf numFmtId="164" fontId="6" fillId="2" borderId="39" xfId="1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164" fontId="6" fillId="0" borderId="39" xfId="1" applyNumberFormat="1" applyFont="1" applyFill="1" applyBorder="1" applyAlignment="1"/>
    <xf numFmtId="164" fontId="6" fillId="2" borderId="39" xfId="1" applyNumberFormat="1" applyFont="1" applyFill="1" applyBorder="1" applyAlignment="1"/>
    <xf numFmtId="1" fontId="6" fillId="2" borderId="54" xfId="3" applyNumberFormat="1" applyFont="1" applyFill="1" applyBorder="1" applyAlignment="1">
      <alignment horizontal="center"/>
    </xf>
    <xf numFmtId="1" fontId="6" fillId="2" borderId="39" xfId="3" applyNumberFormat="1" applyFont="1" applyFill="1" applyBorder="1" applyAlignment="1">
      <alignment horizontal="center"/>
    </xf>
    <xf numFmtId="0" fontId="6" fillId="2" borderId="39" xfId="3" applyFont="1" applyFill="1" applyBorder="1" applyAlignment="1">
      <alignment wrapText="1"/>
    </xf>
    <xf numFmtId="1" fontId="6" fillId="2" borderId="54" xfId="3" applyNumberFormat="1" applyFont="1" applyFill="1" applyBorder="1" applyAlignment="1">
      <alignment horizontal="center" vertical="center"/>
    </xf>
    <xf numFmtId="1" fontId="6" fillId="2" borderId="39" xfId="3" applyNumberFormat="1" applyFont="1" applyFill="1" applyBorder="1" applyAlignment="1">
      <alignment horizontal="center" vertical="center"/>
    </xf>
    <xf numFmtId="0" fontId="6" fillId="2" borderId="39" xfId="3" applyFont="1" applyFill="1" applyBorder="1" applyAlignment="1">
      <alignment vertical="center" wrapText="1"/>
    </xf>
    <xf numFmtId="0" fontId="6" fillId="2" borderId="39" xfId="3" applyFont="1" applyFill="1" applyBorder="1"/>
    <xf numFmtId="3" fontId="6" fillId="2" borderId="39" xfId="3" applyNumberFormat="1" applyFont="1" applyFill="1" applyBorder="1"/>
    <xf numFmtId="3" fontId="6" fillId="0" borderId="0" xfId="1" applyNumberFormat="1" applyFont="1" applyFill="1" applyAlignment="1">
      <alignment vertical="center"/>
    </xf>
    <xf numFmtId="3" fontId="6" fillId="2" borderId="39" xfId="1" applyNumberFormat="1" applyFont="1" applyFill="1" applyBorder="1" applyAlignment="1">
      <alignment vertical="center"/>
    </xf>
    <xf numFmtId="4" fontId="6" fillId="0" borderId="26" xfId="1" applyNumberFormat="1" applyFont="1" applyFill="1" applyBorder="1" applyAlignment="1">
      <alignment vertical="center" shrinkToFit="1"/>
    </xf>
    <xf numFmtId="0" fontId="6" fillId="2" borderId="54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 wrapText="1"/>
    </xf>
    <xf numFmtId="164" fontId="6" fillId="2" borderId="39" xfId="1" applyNumberFormat="1" applyFont="1" applyFill="1" applyBorder="1" applyAlignment="1">
      <alignment horizontal="right" vertical="center"/>
    </xf>
    <xf numFmtId="4" fontId="6" fillId="2" borderId="26" xfId="1" applyNumberFormat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171" fontId="6" fillId="2" borderId="0" xfId="1" applyNumberFormat="1" applyFont="1" applyFill="1" applyAlignment="1">
      <alignment vertical="center"/>
    </xf>
    <xf numFmtId="4" fontId="32" fillId="2" borderId="26" xfId="1" applyNumberFormat="1" applyFont="1" applyFill="1" applyBorder="1" applyAlignment="1">
      <alignment vertical="center"/>
    </xf>
    <xf numFmtId="164" fontId="2" fillId="3" borderId="3" xfId="1" applyNumberFormat="1" applyFont="1" applyFill="1" applyBorder="1" applyAlignment="1"/>
    <xf numFmtId="4" fontId="7" fillId="3" borderId="4" xfId="1" applyNumberFormat="1" applyFont="1" applyFill="1" applyBorder="1" applyAlignment="1">
      <alignment vertical="center"/>
    </xf>
    <xf numFmtId="164" fontId="33" fillId="0" borderId="0" xfId="1" applyNumberFormat="1" applyFont="1" applyFill="1"/>
    <xf numFmtId="0" fontId="33" fillId="0" borderId="0" xfId="1" applyFont="1" applyFill="1"/>
    <xf numFmtId="4" fontId="6" fillId="0" borderId="0" xfId="1" applyNumberFormat="1" applyFont="1" applyFill="1" applyBorder="1" applyAlignment="1">
      <alignment vertical="center"/>
    </xf>
    <xf numFmtId="0" fontId="29" fillId="3" borderId="1" xfId="1" applyFont="1" applyFill="1" applyBorder="1" applyAlignment="1">
      <alignment horizontal="center" vertical="center"/>
    </xf>
    <xf numFmtId="0" fontId="29" fillId="3" borderId="3" xfId="1" applyFont="1" applyFill="1" applyBorder="1" applyAlignment="1">
      <alignment vertical="center"/>
    </xf>
    <xf numFmtId="0" fontId="29" fillId="3" borderId="3" xfId="1" applyFont="1" applyFill="1" applyBorder="1" applyAlignment="1">
      <alignment horizontal="center" vertical="center"/>
    </xf>
    <xf numFmtId="3" fontId="6" fillId="0" borderId="39" xfId="1" applyNumberFormat="1" applyFont="1" applyFill="1" applyBorder="1" applyAlignment="1">
      <alignment horizontal="right" vertical="center"/>
    </xf>
    <xf numFmtId="49" fontId="6" fillId="0" borderId="54" xfId="1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/>
    <xf numFmtId="0" fontId="8" fillId="3" borderId="0" xfId="1" applyFont="1" applyFill="1"/>
    <xf numFmtId="0" fontId="33" fillId="0" borderId="0" xfId="1" applyFont="1" applyFill="1" applyAlignment="1">
      <alignment horizontal="right"/>
    </xf>
    <xf numFmtId="4" fontId="11" fillId="0" borderId="0" xfId="1" applyNumberFormat="1" applyFont="1" applyFill="1" applyBorder="1" applyAlignment="1">
      <alignment vertical="center"/>
    </xf>
    <xf numFmtId="0" fontId="6" fillId="0" borderId="51" xfId="1" applyFont="1" applyFill="1" applyBorder="1" applyAlignment="1">
      <alignment horizontal="center"/>
    </xf>
    <xf numFmtId="0" fontId="6" fillId="0" borderId="52" xfId="1" applyFont="1" applyFill="1" applyBorder="1" applyAlignment="1">
      <alignment horizontal="center"/>
    </xf>
    <xf numFmtId="0" fontId="6" fillId="0" borderId="52" xfId="1" applyFont="1" applyFill="1" applyBorder="1"/>
    <xf numFmtId="3" fontId="6" fillId="0" borderId="52" xfId="1" applyNumberFormat="1" applyFont="1" applyFill="1" applyBorder="1" applyAlignment="1">
      <alignment vertical="center"/>
    </xf>
    <xf numFmtId="1" fontId="6" fillId="0" borderId="54" xfId="1" applyNumberFormat="1" applyFont="1" applyFill="1" applyBorder="1" applyAlignment="1">
      <alignment horizontal="center" vertical="center"/>
    </xf>
    <xf numFmtId="0" fontId="33" fillId="3" borderId="0" xfId="1" applyFont="1" applyFill="1"/>
    <xf numFmtId="3" fontId="33" fillId="3" borderId="0" xfId="1" applyNumberFormat="1" applyFont="1" applyFill="1"/>
    <xf numFmtId="4" fontId="6" fillId="0" borderId="56" xfId="1" applyNumberFormat="1" applyFont="1" applyFill="1" applyBorder="1" applyAlignment="1">
      <alignment vertical="center"/>
    </xf>
    <xf numFmtId="3" fontId="33" fillId="0" borderId="0" xfId="1" applyNumberFormat="1" applyFont="1" applyFill="1"/>
    <xf numFmtId="0" fontId="2" fillId="3" borderId="46" xfId="1" applyFont="1" applyFill="1" applyBorder="1"/>
    <xf numFmtId="3" fontId="2" fillId="3" borderId="46" xfId="1" applyNumberFormat="1" applyFont="1" applyFill="1" applyBorder="1"/>
    <xf numFmtId="4" fontId="7" fillId="3" borderId="46" xfId="1" applyNumberFormat="1" applyFont="1" applyFill="1" applyBorder="1" applyAlignment="1"/>
    <xf numFmtId="0" fontId="4" fillId="0" borderId="0" xfId="1" applyFont="1" applyFill="1"/>
    <xf numFmtId="0" fontId="2" fillId="0" borderId="56" xfId="1" applyFont="1" applyFill="1" applyBorder="1"/>
    <xf numFmtId="3" fontId="2" fillId="0" borderId="56" xfId="1" applyNumberFormat="1" applyFont="1" applyFill="1" applyBorder="1"/>
    <xf numFmtId="4" fontId="7" fillId="0" borderId="56" xfId="1" applyNumberFormat="1" applyFont="1" applyFill="1" applyBorder="1" applyAlignment="1">
      <alignment vertical="center"/>
    </xf>
    <xf numFmtId="4" fontId="6" fillId="0" borderId="57" xfId="1" applyNumberFormat="1" applyFont="1" applyFill="1" applyBorder="1" applyAlignment="1">
      <alignment vertical="center"/>
    </xf>
    <xf numFmtId="3" fontId="1" fillId="3" borderId="46" xfId="1" applyNumberFormat="1" applyFont="1" applyFill="1" applyBorder="1"/>
    <xf numFmtId="4" fontId="7" fillId="3" borderId="46" xfId="1" applyNumberFormat="1" applyFont="1" applyFill="1" applyBorder="1" applyAlignment="1">
      <alignment vertical="center"/>
    </xf>
    <xf numFmtId="0" fontId="35" fillId="3" borderId="0" xfId="1" applyFont="1" applyFill="1"/>
    <xf numFmtId="0" fontId="36" fillId="3" borderId="0" xfId="1" applyFont="1" applyFill="1"/>
    <xf numFmtId="168" fontId="8" fillId="0" borderId="0" xfId="1" applyNumberFormat="1" applyFont="1" applyFill="1"/>
    <xf numFmtId="172" fontId="8" fillId="0" borderId="0" xfId="1" applyNumberFormat="1" applyFont="1" applyFill="1" applyAlignment="1">
      <alignment horizontal="right"/>
    </xf>
    <xf numFmtId="4" fontId="33" fillId="0" borderId="0" xfId="1" applyNumberFormat="1" applyFont="1" applyFill="1"/>
    <xf numFmtId="0" fontId="26" fillId="0" borderId="0" xfId="4" applyFont="1" applyFill="1"/>
    <xf numFmtId="0" fontId="8" fillId="0" borderId="0" xfId="4" applyFill="1"/>
    <xf numFmtId="0" fontId="8" fillId="0" borderId="0" xfId="4" applyFont="1" applyFill="1"/>
    <xf numFmtId="4" fontId="8" fillId="0" borderId="0" xfId="4" applyNumberFormat="1" applyFont="1" applyFill="1"/>
    <xf numFmtId="0" fontId="33" fillId="0" borderId="0" xfId="4" applyFont="1" applyFill="1"/>
    <xf numFmtId="0" fontId="39" fillId="0" borderId="0" xfId="4" applyFont="1" applyFill="1"/>
    <xf numFmtId="0" fontId="2" fillId="0" borderId="0" xfId="4" applyFont="1" applyFill="1"/>
    <xf numFmtId="0" fontId="8" fillId="0" borderId="7" xfId="4" applyFont="1" applyFill="1" applyBorder="1"/>
    <xf numFmtId="4" fontId="8" fillId="0" borderId="0" xfId="4" applyNumberFormat="1" applyFont="1" applyFill="1" applyAlignment="1">
      <alignment horizontal="right"/>
    </xf>
    <xf numFmtId="0" fontId="8" fillId="3" borderId="3" xfId="4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6" xfId="4" applyFill="1" applyBorder="1" applyAlignment="1">
      <alignment horizontal="center"/>
    </xf>
    <xf numFmtId="3" fontId="8" fillId="3" borderId="6" xfId="4" applyNumberFormat="1" applyFont="1" applyFill="1" applyBorder="1" applyAlignment="1">
      <alignment horizontal="center" vertical="center" wrapText="1"/>
    </xf>
    <xf numFmtId="4" fontId="8" fillId="3" borderId="55" xfId="4" applyNumberFormat="1" applyFont="1" applyFill="1" applyBorder="1" applyAlignment="1">
      <alignment horizontal="center" vertical="center" wrapText="1"/>
    </xf>
    <xf numFmtId="166" fontId="7" fillId="2" borderId="63" xfId="4" applyNumberFormat="1" applyFont="1" applyFill="1" applyBorder="1" applyAlignment="1"/>
    <xf numFmtId="3" fontId="7" fillId="2" borderId="63" xfId="4" applyNumberFormat="1" applyFont="1" applyFill="1" applyBorder="1" applyAlignment="1"/>
    <xf numFmtId="4" fontId="7" fillId="2" borderId="64" xfId="4" applyNumberFormat="1" applyFont="1" applyFill="1" applyBorder="1" applyAlignment="1"/>
    <xf numFmtId="0" fontId="7" fillId="2" borderId="0" xfId="4" applyFont="1" applyFill="1"/>
    <xf numFmtId="166" fontId="7" fillId="2" borderId="23" xfId="4" applyNumberFormat="1" applyFont="1" applyFill="1" applyBorder="1"/>
    <xf numFmtId="3" fontId="7" fillId="2" borderId="23" xfId="4" applyNumberFormat="1" applyFont="1" applyFill="1" applyBorder="1"/>
    <xf numFmtId="4" fontId="7" fillId="2" borderId="24" xfId="4" applyNumberFormat="1" applyFont="1" applyFill="1" applyBorder="1" applyAlignment="1"/>
    <xf numFmtId="3" fontId="7" fillId="2" borderId="0" xfId="4" applyNumberFormat="1" applyFont="1" applyFill="1"/>
    <xf numFmtId="0" fontId="7" fillId="4" borderId="0" xfId="4" applyFont="1" applyFill="1"/>
    <xf numFmtId="3" fontId="7" fillId="2" borderId="23" xfId="4" applyNumberFormat="1" applyFont="1" applyFill="1" applyBorder="1" applyAlignment="1"/>
    <xf numFmtId="0" fontId="6" fillId="2" borderId="0" xfId="4" applyFont="1" applyFill="1"/>
    <xf numFmtId="0" fontId="7" fillId="2" borderId="0" xfId="4" applyFont="1" applyFill="1" applyBorder="1"/>
    <xf numFmtId="3" fontId="7" fillId="2" borderId="0" xfId="4" applyNumberFormat="1" applyFont="1" applyFill="1" applyBorder="1"/>
    <xf numFmtId="0" fontId="7" fillId="2" borderId="23" xfId="4" applyFont="1" applyFill="1" applyBorder="1"/>
    <xf numFmtId="3" fontId="7" fillId="4" borderId="0" xfId="4" applyNumberFormat="1" applyFont="1" applyFill="1"/>
    <xf numFmtId="0" fontId="7" fillId="2" borderId="23" xfId="4" applyFont="1" applyFill="1" applyBorder="1" applyAlignment="1"/>
    <xf numFmtId="0" fontId="7" fillId="4" borderId="0" xfId="4" applyFont="1" applyFill="1" applyBorder="1"/>
    <xf numFmtId="3" fontId="7" fillId="4" borderId="0" xfId="4" applyNumberFormat="1" applyFont="1" applyFill="1" applyBorder="1"/>
    <xf numFmtId="166" fontId="7" fillId="2" borderId="39" xfId="4" applyNumberFormat="1" applyFont="1" applyFill="1" applyBorder="1" applyAlignment="1"/>
    <xf numFmtId="3" fontId="7" fillId="2" borderId="39" xfId="4" applyNumberFormat="1" applyFont="1" applyFill="1" applyBorder="1" applyAlignment="1">
      <alignment horizontal="right"/>
    </xf>
    <xf numFmtId="0" fontId="7" fillId="2" borderId="0" xfId="4" applyFont="1" applyFill="1" applyAlignment="1">
      <alignment horizontal="right"/>
    </xf>
    <xf numFmtId="4" fontId="7" fillId="2" borderId="29" xfId="4" applyNumberFormat="1" applyFont="1" applyFill="1" applyBorder="1" applyAlignment="1"/>
    <xf numFmtId="3" fontId="7" fillId="3" borderId="3" xfId="4" applyNumberFormat="1" applyFont="1" applyFill="1" applyBorder="1"/>
    <xf numFmtId="4" fontId="7" fillId="3" borderId="4" xfId="4" applyNumberFormat="1" applyFont="1" applyFill="1" applyBorder="1"/>
    <xf numFmtId="0" fontId="6" fillId="0" borderId="0" xfId="4" applyFont="1" applyFill="1"/>
    <xf numFmtId="0" fontId="11" fillId="0" borderId="0" xfId="4" applyFont="1" applyFill="1"/>
    <xf numFmtId="0" fontId="40" fillId="0" borderId="0" xfId="4" applyFont="1" applyFill="1"/>
    <xf numFmtId="0" fontId="8" fillId="2" borderId="0" xfId="4" applyFill="1"/>
    <xf numFmtId="0" fontId="8" fillId="2" borderId="0" xfId="4" applyFont="1" applyFill="1"/>
    <xf numFmtId="4" fontId="8" fillId="2" borderId="0" xfId="4" applyNumberFormat="1" applyFont="1" applyFill="1"/>
    <xf numFmtId="3" fontId="6" fillId="2" borderId="0" xfId="4" applyNumberFormat="1" applyFont="1" applyFill="1"/>
    <xf numFmtId="0" fontId="26" fillId="2" borderId="0" xfId="4" applyFont="1" applyFill="1"/>
    <xf numFmtId="3" fontId="6" fillId="2" borderId="0" xfId="0" applyNumberFormat="1" applyFont="1" applyFill="1"/>
    <xf numFmtId="3" fontId="11" fillId="2" borderId="0" xfId="0" applyNumberFormat="1" applyFont="1" applyFill="1"/>
    <xf numFmtId="4" fontId="6" fillId="2" borderId="0" xfId="0" applyNumberFormat="1" applyFont="1" applyFill="1"/>
    <xf numFmtId="0" fontId="6" fillId="0" borderId="0" xfId="0" applyFont="1"/>
    <xf numFmtId="0" fontId="2" fillId="2" borderId="0" xfId="4" applyFont="1" applyFill="1"/>
    <xf numFmtId="4" fontId="6" fillId="2" borderId="0" xfId="0" applyNumberFormat="1" applyFont="1" applyFill="1" applyAlignment="1">
      <alignment horizontal="right"/>
    </xf>
    <xf numFmtId="0" fontId="8" fillId="3" borderId="59" xfId="4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5" fillId="3" borderId="39" xfId="4" applyFont="1" applyFill="1" applyBorder="1" applyAlignment="1">
      <alignment horizontal="center"/>
    </xf>
    <xf numFmtId="3" fontId="5" fillId="3" borderId="52" xfId="0" applyNumberFormat="1" applyFont="1" applyFill="1" applyBorder="1" applyAlignment="1">
      <alignment horizontal="center" wrapText="1"/>
    </xf>
    <xf numFmtId="4" fontId="5" fillId="3" borderId="26" xfId="4" applyNumberFormat="1" applyFont="1" applyFill="1" applyBorder="1" applyAlignment="1">
      <alignment horizontal="center" vertical="center" wrapText="1"/>
    </xf>
    <xf numFmtId="0" fontId="5" fillId="0" borderId="0" xfId="4" applyFont="1" applyFill="1"/>
    <xf numFmtId="0" fontId="7" fillId="3" borderId="70" xfId="4" applyFont="1" applyFill="1" applyBorder="1" applyAlignment="1">
      <alignment horizontal="left"/>
    </xf>
    <xf numFmtId="0" fontId="7" fillId="3" borderId="71" xfId="4" applyFont="1" applyFill="1" applyBorder="1" applyAlignment="1">
      <alignment horizontal="left"/>
    </xf>
    <xf numFmtId="0" fontId="8" fillId="3" borderId="72" xfId="4" applyFont="1" applyFill="1" applyBorder="1"/>
    <xf numFmtId="3" fontId="7" fillId="3" borderId="72" xfId="4" applyNumberFormat="1" applyFont="1" applyFill="1" applyBorder="1"/>
    <xf numFmtId="4" fontId="30" fillId="3" borderId="73" xfId="0" applyNumberFormat="1" applyFont="1" applyFill="1" applyBorder="1"/>
    <xf numFmtId="0" fontId="30" fillId="0" borderId="0" xfId="0" applyFont="1" applyBorder="1"/>
    <xf numFmtId="0" fontId="6" fillId="0" borderId="0" xfId="0" applyFont="1" applyBorder="1"/>
    <xf numFmtId="0" fontId="6" fillId="2" borderId="74" xfId="0" applyFont="1" applyFill="1" applyBorder="1"/>
    <xf numFmtId="0" fontId="30" fillId="2" borderId="0" xfId="0" applyFont="1" applyFill="1" applyBorder="1" applyAlignment="1">
      <alignment horizontal="left"/>
    </xf>
    <xf numFmtId="0" fontId="8" fillId="2" borderId="75" xfId="0" applyFont="1" applyFill="1" applyBorder="1" applyAlignment="1">
      <alignment horizontal="left"/>
    </xf>
    <xf numFmtId="0" fontId="11" fillId="2" borderId="75" xfId="0" applyFont="1" applyFill="1" applyBorder="1"/>
    <xf numFmtId="3" fontId="30" fillId="2" borderId="75" xfId="0" applyNumberFormat="1" applyFont="1" applyFill="1" applyBorder="1"/>
    <xf numFmtId="4" fontId="30" fillId="2" borderId="76" xfId="0" applyNumberFormat="1" applyFont="1" applyFill="1" applyBorder="1"/>
    <xf numFmtId="0" fontId="31" fillId="0" borderId="0" xfId="0" applyFont="1" applyBorder="1"/>
    <xf numFmtId="0" fontId="11" fillId="0" borderId="0" xfId="0" applyFont="1" applyBorder="1"/>
    <xf numFmtId="0" fontId="8" fillId="2" borderId="54" xfId="0" applyFont="1" applyFill="1" applyBorder="1" applyAlignment="1">
      <alignment horizontal="left"/>
    </xf>
    <xf numFmtId="0" fontId="8" fillId="2" borderId="31" xfId="0" applyFont="1" applyFill="1" applyBorder="1"/>
    <xf numFmtId="0" fontId="8" fillId="2" borderId="39" xfId="0" applyFont="1" applyFill="1" applyBorder="1" applyAlignment="1">
      <alignment wrapText="1"/>
    </xf>
    <xf numFmtId="0" fontId="33" fillId="2" borderId="39" xfId="0" applyFont="1" applyFill="1" applyBorder="1"/>
    <xf numFmtId="3" fontId="8" fillId="2" borderId="39" xfId="0" applyNumberFormat="1" applyFont="1" applyFill="1" applyBorder="1"/>
    <xf numFmtId="4" fontId="8" fillId="2" borderId="26" xfId="0" applyNumberFormat="1" applyFont="1" applyFill="1" applyBorder="1"/>
    <xf numFmtId="0" fontId="8" fillId="2" borderId="77" xfId="0" applyFont="1" applyFill="1" applyBorder="1"/>
    <xf numFmtId="0" fontId="8" fillId="2" borderId="67" xfId="0" applyFont="1" applyFill="1" applyBorder="1"/>
    <xf numFmtId="0" fontId="6" fillId="2" borderId="54" xfId="0" applyFont="1" applyFill="1" applyBorder="1"/>
    <xf numFmtId="0" fontId="8" fillId="2" borderId="56" xfId="0" applyFont="1" applyFill="1" applyBorder="1"/>
    <xf numFmtId="0" fontId="8" fillId="2" borderId="25" xfId="0" applyFont="1" applyFill="1" applyBorder="1" applyAlignment="1">
      <alignment wrapText="1"/>
    </xf>
    <xf numFmtId="0" fontId="33" fillId="2" borderId="25" xfId="0" applyFont="1" applyFill="1" applyBorder="1"/>
    <xf numFmtId="3" fontId="8" fillId="2" borderId="25" xfId="0" applyNumberFormat="1" applyFont="1" applyFill="1" applyBorder="1"/>
    <xf numFmtId="4" fontId="8" fillId="2" borderId="78" xfId="0" applyNumberFormat="1" applyFont="1" applyFill="1" applyBorder="1"/>
    <xf numFmtId="0" fontId="30" fillId="2" borderId="75" xfId="0" applyFont="1" applyFill="1" applyBorder="1" applyAlignment="1">
      <alignment horizontal="left"/>
    </xf>
    <xf numFmtId="0" fontId="8" fillId="2" borderId="39" xfId="0" applyFont="1" applyFill="1" applyBorder="1"/>
    <xf numFmtId="0" fontId="8" fillId="2" borderId="54" xfId="0" applyFont="1" applyFill="1" applyBorder="1"/>
    <xf numFmtId="0" fontId="6" fillId="2" borderId="79" xfId="0" applyFont="1" applyFill="1" applyBorder="1"/>
    <xf numFmtId="0" fontId="30" fillId="2" borderId="80" xfId="0" applyFont="1" applyFill="1" applyBorder="1" applyAlignment="1">
      <alignment wrapText="1"/>
    </xf>
    <xf numFmtId="0" fontId="8" fillId="2" borderId="80" xfId="0" applyFont="1" applyFill="1" applyBorder="1"/>
    <xf numFmtId="0" fontId="30" fillId="2" borderId="80" xfId="0" applyFont="1" applyFill="1" applyBorder="1"/>
    <xf numFmtId="3" fontId="30" fillId="2" borderId="80" xfId="0" applyNumberFormat="1" applyFont="1" applyFill="1" applyBorder="1"/>
    <xf numFmtId="4" fontId="30" fillId="2" borderId="81" xfId="0" applyNumberFormat="1" applyFont="1" applyFill="1" applyBorder="1"/>
    <xf numFmtId="0" fontId="30" fillId="0" borderId="0" xfId="0" applyFont="1"/>
    <xf numFmtId="0" fontId="6" fillId="2" borderId="74" xfId="0" applyFont="1" applyFill="1" applyBorder="1" applyAlignment="1">
      <alignment vertical="center"/>
    </xf>
    <xf numFmtId="0" fontId="30" fillId="2" borderId="75" xfId="0" applyFont="1" applyFill="1" applyBorder="1" applyAlignment="1">
      <alignment wrapText="1"/>
    </xf>
    <xf numFmtId="0" fontId="8" fillId="2" borderId="75" xfId="0" applyFont="1" applyFill="1" applyBorder="1"/>
    <xf numFmtId="0" fontId="30" fillId="2" borderId="75" xfId="0" applyFont="1" applyFill="1" applyBorder="1"/>
    <xf numFmtId="3" fontId="30" fillId="2" borderId="75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wrapText="1"/>
    </xf>
    <xf numFmtId="0" fontId="8" fillId="0" borderId="0" xfId="0" applyFont="1"/>
    <xf numFmtId="0" fontId="30" fillId="2" borderId="82" xfId="0" applyFont="1" applyFill="1" applyBorder="1" applyAlignment="1">
      <alignment horizontal="left" wrapText="1"/>
    </xf>
    <xf numFmtId="0" fontId="6" fillId="2" borderId="75" xfId="0" applyFont="1" applyFill="1" applyBorder="1"/>
    <xf numFmtId="0" fontId="8" fillId="2" borderId="56" xfId="0" applyFont="1" applyFill="1" applyBorder="1" applyAlignment="1">
      <alignment wrapText="1"/>
    </xf>
    <xf numFmtId="0" fontId="8" fillId="2" borderId="25" xfId="0" applyFont="1" applyFill="1" applyBorder="1"/>
    <xf numFmtId="0" fontId="8" fillId="2" borderId="83" xfId="0" applyFont="1" applyFill="1" applyBorder="1"/>
    <xf numFmtId="0" fontId="8" fillId="2" borderId="84" xfId="0" applyFont="1" applyFill="1" applyBorder="1" applyAlignment="1">
      <alignment wrapText="1"/>
    </xf>
    <xf numFmtId="0" fontId="8" fillId="2" borderId="84" xfId="0" applyFont="1" applyFill="1" applyBorder="1"/>
    <xf numFmtId="3" fontId="8" fillId="2" borderId="84" xfId="0" applyNumberFormat="1" applyFont="1" applyFill="1" applyBorder="1"/>
    <xf numFmtId="4" fontId="8" fillId="2" borderId="85" xfId="0" applyNumberFormat="1" applyFont="1" applyFill="1" applyBorder="1"/>
    <xf numFmtId="0" fontId="7" fillId="3" borderId="86" xfId="4" applyFont="1" applyFill="1" applyBorder="1" applyAlignment="1">
      <alignment horizontal="left"/>
    </xf>
    <xf numFmtId="0" fontId="7" fillId="3" borderId="87" xfId="4" applyFont="1" applyFill="1" applyBorder="1" applyAlignment="1">
      <alignment horizontal="left"/>
    </xf>
    <xf numFmtId="0" fontId="8" fillId="3" borderId="84" xfId="4" applyFont="1" applyFill="1" applyBorder="1"/>
    <xf numFmtId="3" fontId="7" fillId="3" borderId="84" xfId="4" applyNumberFormat="1" applyFont="1" applyFill="1" applyBorder="1"/>
    <xf numFmtId="4" fontId="30" fillId="3" borderId="85" xfId="0" applyNumberFormat="1" applyFont="1" applyFill="1" applyBorder="1"/>
    <xf numFmtId="0" fontId="6" fillId="2" borderId="79" xfId="0" applyFont="1" applyFill="1" applyBorder="1" applyAlignment="1">
      <alignment vertical="center"/>
    </xf>
    <xf numFmtId="0" fontId="30" fillId="2" borderId="88" xfId="0" applyFont="1" applyFill="1" applyBorder="1" applyAlignment="1">
      <alignment horizontal="left" wrapText="1"/>
    </xf>
    <xf numFmtId="0" fontId="8" fillId="2" borderId="80" xfId="0" applyFont="1" applyFill="1" applyBorder="1" applyAlignment="1">
      <alignment horizontal="right"/>
    </xf>
    <xf numFmtId="0" fontId="6" fillId="2" borderId="80" xfId="0" applyFont="1" applyFill="1" applyBorder="1"/>
    <xf numFmtId="0" fontId="6" fillId="2" borderId="21" xfId="0" applyFont="1" applyFill="1" applyBorder="1" applyAlignment="1">
      <alignment vertical="center"/>
    </xf>
    <xf numFmtId="0" fontId="30" fillId="2" borderId="22" xfId="0" applyFont="1" applyFill="1" applyBorder="1" applyAlignment="1">
      <alignment wrapText="1"/>
    </xf>
    <xf numFmtId="0" fontId="8" fillId="2" borderId="23" xfId="0" applyFont="1" applyFill="1" applyBorder="1" applyAlignment="1">
      <alignment horizontal="right"/>
    </xf>
    <xf numFmtId="0" fontId="6" fillId="2" borderId="23" xfId="0" applyFont="1" applyFill="1" applyBorder="1"/>
    <xf numFmtId="3" fontId="30" fillId="2" borderId="23" xfId="0" applyNumberFormat="1" applyFont="1" applyFill="1" applyBorder="1"/>
    <xf numFmtId="4" fontId="30" fillId="2" borderId="24" xfId="0" applyNumberFormat="1" applyFont="1" applyFill="1" applyBorder="1"/>
    <xf numFmtId="0" fontId="30" fillId="2" borderId="57" xfId="0" applyFont="1" applyFill="1" applyBorder="1" applyAlignment="1">
      <alignment horizontal="left" wrapText="1"/>
    </xf>
    <xf numFmtId="0" fontId="30" fillId="2" borderId="75" xfId="0" applyFont="1" applyFill="1" applyBorder="1" applyAlignment="1">
      <alignment horizontal="left" wrapText="1"/>
    </xf>
    <xf numFmtId="0" fontId="8" fillId="2" borderId="75" xfId="0" applyFont="1" applyFill="1" applyBorder="1" applyAlignment="1">
      <alignment horizontal="right"/>
    </xf>
    <xf numFmtId="0" fontId="6" fillId="2" borderId="89" xfId="0" applyFont="1" applyFill="1" applyBorder="1" applyAlignment="1">
      <alignment vertical="center"/>
    </xf>
    <xf numFmtId="0" fontId="30" fillId="2" borderId="90" xfId="0" applyFont="1" applyFill="1" applyBorder="1" applyAlignment="1">
      <alignment wrapText="1"/>
    </xf>
    <xf numFmtId="0" fontId="8" fillId="2" borderId="90" xfId="0" applyFont="1" applyFill="1" applyBorder="1"/>
    <xf numFmtId="0" fontId="30" fillId="2" borderId="90" xfId="0" applyFont="1" applyFill="1" applyBorder="1"/>
    <xf numFmtId="3" fontId="30" fillId="2" borderId="90" xfId="0" applyNumberFormat="1" applyFont="1" applyFill="1" applyBorder="1"/>
    <xf numFmtId="0" fontId="6" fillId="0" borderId="79" xfId="0" applyFont="1" applyBorder="1"/>
    <xf numFmtId="0" fontId="30" fillId="0" borderId="22" xfId="0" applyFont="1" applyBorder="1" applyAlignment="1">
      <alignment wrapText="1"/>
    </xf>
    <xf numFmtId="0" fontId="8" fillId="0" borderId="23" xfId="0" applyFont="1" applyBorder="1"/>
    <xf numFmtId="0" fontId="30" fillId="0" borderId="23" xfId="0" applyFont="1" applyBorder="1"/>
    <xf numFmtId="3" fontId="30" fillId="0" borderId="23" xfId="0" applyNumberFormat="1" applyFont="1" applyBorder="1"/>
    <xf numFmtId="4" fontId="30" fillId="0" borderId="76" xfId="0" applyNumberFormat="1" applyFont="1" applyBorder="1"/>
    <xf numFmtId="0" fontId="6" fillId="0" borderId="21" xfId="0" applyFont="1" applyBorder="1" applyAlignment="1">
      <alignment vertical="center"/>
    </xf>
    <xf numFmtId="4" fontId="30" fillId="0" borderId="24" xfId="0" applyNumberFormat="1" applyFont="1" applyBorder="1"/>
    <xf numFmtId="0" fontId="6" fillId="0" borderId="83" xfId="0" applyFont="1" applyBorder="1" applyAlignment="1">
      <alignment vertical="center"/>
    </xf>
    <xf numFmtId="0" fontId="30" fillId="0" borderId="31" xfId="0" applyFont="1" applyBorder="1" applyAlignment="1">
      <alignment wrapText="1"/>
    </xf>
    <xf numFmtId="0" fontId="8" fillId="0" borderId="39" xfId="0" applyFont="1" applyBorder="1"/>
    <xf numFmtId="0" fontId="30" fillId="0" borderId="39" xfId="0" applyFont="1" applyBorder="1"/>
    <xf numFmtId="3" fontId="30" fillId="0" borderId="39" xfId="0" applyNumberFormat="1" applyFont="1" applyBorder="1"/>
    <xf numFmtId="0" fontId="42" fillId="3" borderId="71" xfId="4" applyFont="1" applyFill="1" applyBorder="1" applyAlignment="1">
      <alignment horizontal="left"/>
    </xf>
    <xf numFmtId="0" fontId="33" fillId="3" borderId="72" xfId="4" applyFont="1" applyFill="1" applyBorder="1"/>
    <xf numFmtId="3" fontId="42" fillId="2" borderId="0" xfId="4" applyNumberFormat="1" applyFont="1" applyFill="1"/>
    <xf numFmtId="0" fontId="42" fillId="2" borderId="0" xfId="4" applyFont="1" applyFill="1"/>
    <xf numFmtId="0" fontId="7" fillId="5" borderId="91" xfId="4" applyFont="1" applyFill="1" applyBorder="1" applyAlignment="1">
      <alignment horizontal="left"/>
    </xf>
    <xf numFmtId="0" fontId="42" fillId="5" borderId="88" xfId="4" applyFont="1" applyFill="1" applyBorder="1" applyAlignment="1">
      <alignment horizontal="left"/>
    </xf>
    <xf numFmtId="0" fontId="33" fillId="5" borderId="80" xfId="4" applyFont="1" applyFill="1" applyBorder="1"/>
    <xf numFmtId="3" fontId="7" fillId="5" borderId="80" xfId="4" applyNumberFormat="1" applyFont="1" applyFill="1" applyBorder="1"/>
    <xf numFmtId="3" fontId="30" fillId="5" borderId="80" xfId="4" applyNumberFormat="1" applyFont="1" applyFill="1" applyBorder="1" applyAlignment="1">
      <alignment horizontal="left"/>
    </xf>
    <xf numFmtId="4" fontId="30" fillId="5" borderId="81" xfId="0" applyNumberFormat="1" applyFont="1" applyFill="1" applyBorder="1" applyAlignment="1">
      <alignment horizontal="left"/>
    </xf>
    <xf numFmtId="0" fontId="6" fillId="2" borderId="54" xfId="0" applyFont="1" applyFill="1" applyBorder="1" applyAlignment="1">
      <alignment vertical="center"/>
    </xf>
    <xf numFmtId="0" fontId="30" fillId="2" borderId="0" xfId="0" applyFont="1" applyFill="1" applyBorder="1" applyAlignment="1">
      <alignment wrapText="1"/>
    </xf>
    <xf numFmtId="0" fontId="43" fillId="2" borderId="39" xfId="0" applyFont="1" applyFill="1" applyBorder="1"/>
    <xf numFmtId="3" fontId="30" fillId="2" borderId="39" xfId="0" applyNumberFormat="1" applyFont="1" applyFill="1" applyBorder="1"/>
    <xf numFmtId="4" fontId="30" fillId="2" borderId="26" xfId="0" applyNumberFormat="1" applyFont="1" applyFill="1" applyBorder="1"/>
    <xf numFmtId="4" fontId="8" fillId="2" borderId="92" xfId="0" applyNumberFormat="1" applyFont="1" applyFill="1" applyBorder="1"/>
    <xf numFmtId="0" fontId="43" fillId="0" borderId="0" xfId="0" applyFont="1" applyBorder="1"/>
    <xf numFmtId="0" fontId="8" fillId="0" borderId="0" xfId="0" applyFont="1" applyBorder="1"/>
    <xf numFmtId="0" fontId="30" fillId="2" borderId="39" xfId="0" applyFont="1" applyFill="1" applyBorder="1" applyAlignment="1">
      <alignment horizontal="left" wrapText="1"/>
    </xf>
    <xf numFmtId="0" fontId="8" fillId="2" borderId="39" xfId="0" applyFont="1" applyFill="1" applyBorder="1" applyAlignment="1">
      <alignment horizontal="left"/>
    </xf>
    <xf numFmtId="0" fontId="6" fillId="2" borderId="39" xfId="0" applyFont="1" applyFill="1" applyBorder="1"/>
    <xf numFmtId="0" fontId="6" fillId="2" borderId="77" xfId="0" applyFont="1" applyFill="1" applyBorder="1" applyAlignment="1">
      <alignment vertical="center"/>
    </xf>
    <xf numFmtId="0" fontId="30" fillId="2" borderId="56" xfId="0" applyFont="1" applyFill="1" applyBorder="1" applyAlignment="1">
      <alignment horizontal="left" wrapText="1"/>
    </xf>
    <xf numFmtId="0" fontId="8" fillId="2" borderId="25" xfId="0" applyFont="1" applyFill="1" applyBorder="1" applyAlignment="1">
      <alignment horizontal="right"/>
    </xf>
    <xf numFmtId="0" fontId="6" fillId="2" borderId="25" xfId="0" applyFont="1" applyFill="1" applyBorder="1"/>
    <xf numFmtId="3" fontId="30" fillId="2" borderId="25" xfId="0" applyNumberFormat="1" applyFont="1" applyFill="1" applyBorder="1"/>
    <xf numFmtId="4" fontId="30" fillId="2" borderId="78" xfId="0" applyNumberFormat="1" applyFont="1" applyFill="1" applyBorder="1"/>
    <xf numFmtId="0" fontId="11" fillId="0" borderId="0" xfId="0" applyFont="1"/>
    <xf numFmtId="0" fontId="30" fillId="2" borderId="93" xfId="0" applyFont="1" applyFill="1" applyBorder="1" applyAlignment="1">
      <alignment wrapText="1"/>
    </xf>
    <xf numFmtId="0" fontId="8" fillId="2" borderId="90" xfId="0" applyFont="1" applyFill="1" applyBorder="1" applyAlignment="1">
      <alignment horizontal="right"/>
    </xf>
    <xf numFmtId="0" fontId="6" fillId="2" borderId="90" xfId="0" applyFont="1" applyFill="1" applyBorder="1"/>
    <xf numFmtId="4" fontId="30" fillId="2" borderId="94" xfId="0" applyNumberFormat="1" applyFont="1" applyFill="1" applyBorder="1"/>
    <xf numFmtId="0" fontId="30" fillId="2" borderId="95" xfId="0" applyFont="1" applyFill="1" applyBorder="1" applyAlignment="1">
      <alignment wrapText="1"/>
    </xf>
    <xf numFmtId="0" fontId="30" fillId="2" borderId="67" xfId="0" applyFont="1" applyFill="1" applyBorder="1" applyAlignment="1">
      <alignment wrapText="1"/>
    </xf>
    <xf numFmtId="0" fontId="30" fillId="2" borderId="96" xfId="0" applyFont="1" applyFill="1" applyBorder="1" applyAlignment="1">
      <alignment wrapText="1"/>
    </xf>
    <xf numFmtId="0" fontId="8" fillId="2" borderId="54" xfId="0" applyFont="1" applyFill="1" applyBorder="1" applyAlignment="1">
      <alignment vertical="top"/>
    </xf>
    <xf numFmtId="0" fontId="8" fillId="2" borderId="56" xfId="0" applyFont="1" applyFill="1" applyBorder="1" applyAlignment="1">
      <alignment horizontal="left" wrapText="1"/>
    </xf>
    <xf numFmtId="0" fontId="7" fillId="5" borderId="65" xfId="4" applyFont="1" applyFill="1" applyBorder="1" applyAlignment="1">
      <alignment horizontal="left"/>
    </xf>
    <xf numFmtId="0" fontId="42" fillId="5" borderId="57" xfId="4" applyFont="1" applyFill="1" applyBorder="1" applyAlignment="1">
      <alignment horizontal="left"/>
    </xf>
    <xf numFmtId="0" fontId="33" fillId="5" borderId="23" xfId="4" applyFont="1" applyFill="1" applyBorder="1"/>
    <xf numFmtId="3" fontId="7" fillId="5" borderId="23" xfId="4" applyNumberFormat="1" applyFont="1" applyFill="1" applyBorder="1"/>
    <xf numFmtId="3" fontId="30" fillId="5" borderId="23" xfId="4" applyNumberFormat="1" applyFont="1" applyFill="1" applyBorder="1" applyAlignment="1">
      <alignment horizontal="left"/>
    </xf>
    <xf numFmtId="4" fontId="30" fillId="5" borderId="24" xfId="0" applyNumberFormat="1" applyFont="1" applyFill="1" applyBorder="1" applyAlignment="1">
      <alignment horizontal="left"/>
    </xf>
    <xf numFmtId="0" fontId="6" fillId="2" borderId="21" xfId="0" applyFont="1" applyFill="1" applyBorder="1"/>
    <xf numFmtId="0" fontId="30" fillId="2" borderId="57" xfId="0" applyFont="1" applyFill="1" applyBorder="1" applyAlignment="1">
      <alignment horizontal="left"/>
    </xf>
    <xf numFmtId="0" fontId="30" fillId="2" borderId="22" xfId="0" applyFont="1" applyFill="1" applyBorder="1" applyAlignment="1">
      <alignment horizontal="left" wrapText="1"/>
    </xf>
    <xf numFmtId="0" fontId="30" fillId="2" borderId="31" xfId="0" applyFont="1" applyFill="1" applyBorder="1" applyAlignment="1">
      <alignment horizontal="left" wrapText="1"/>
    </xf>
    <xf numFmtId="0" fontId="8" fillId="2" borderId="39" xfId="0" applyFont="1" applyFill="1" applyBorder="1" applyAlignment="1">
      <alignment horizontal="right"/>
    </xf>
    <xf numFmtId="0" fontId="8" fillId="2" borderId="31" xfId="0" applyFont="1" applyFill="1" applyBorder="1" applyAlignment="1">
      <alignment horizontal="left" wrapText="1"/>
    </xf>
    <xf numFmtId="3" fontId="8" fillId="2" borderId="39" xfId="0" applyNumberFormat="1" applyFont="1" applyFill="1" applyBorder="1" applyAlignment="1">
      <alignment horizontal="right"/>
    </xf>
    <xf numFmtId="4" fontId="8" fillId="2" borderId="26" xfId="0" applyNumberFormat="1" applyFont="1" applyFill="1" applyBorder="1" applyAlignment="1">
      <alignment horizontal="right"/>
    </xf>
    <xf numFmtId="0" fontId="8" fillId="2" borderId="67" xfId="0" applyFont="1" applyFill="1" applyBorder="1" applyAlignment="1">
      <alignment horizontal="left" wrapText="1"/>
    </xf>
    <xf numFmtId="3" fontId="8" fillId="2" borderId="25" xfId="0" applyNumberFormat="1" applyFont="1" applyFill="1" applyBorder="1" applyAlignment="1">
      <alignment horizontal="right"/>
    </xf>
    <xf numFmtId="4" fontId="8" fillId="2" borderId="78" xfId="0" applyNumberFormat="1" applyFont="1" applyFill="1" applyBorder="1" applyAlignment="1">
      <alignment horizontal="right"/>
    </xf>
    <xf numFmtId="0" fontId="7" fillId="3" borderId="97" xfId="4" applyFont="1" applyFill="1" applyBorder="1" applyAlignment="1"/>
    <xf numFmtId="0" fontId="42" fillId="3" borderId="98" xfId="4" applyFont="1" applyFill="1" applyBorder="1" applyAlignment="1"/>
    <xf numFmtId="0" fontId="33" fillId="3" borderId="98" xfId="4" applyFont="1" applyFill="1" applyBorder="1" applyAlignment="1"/>
    <xf numFmtId="0" fontId="7" fillId="3" borderId="98" xfId="4" applyFont="1" applyFill="1" applyBorder="1" applyAlignment="1"/>
    <xf numFmtId="3" fontId="7" fillId="3" borderId="98" xfId="0" applyNumberFormat="1" applyFont="1" applyFill="1" applyBorder="1"/>
    <xf numFmtId="4" fontId="30" fillId="3" borderId="99" xfId="0" applyNumberFormat="1" applyFont="1" applyFill="1" applyBorder="1"/>
    <xf numFmtId="0" fontId="6" fillId="2" borderId="21" xfId="0" applyNumberFormat="1" applyFont="1" applyFill="1" applyBorder="1"/>
    <xf numFmtId="0" fontId="30" fillId="2" borderId="23" xfId="0" applyNumberFormat="1" applyFont="1" applyFill="1" applyBorder="1"/>
    <xf numFmtId="0" fontId="8" fillId="2" borderId="23" xfId="0" applyNumberFormat="1" applyFont="1" applyFill="1" applyBorder="1"/>
    <xf numFmtId="2" fontId="30" fillId="2" borderId="24" xfId="0" applyNumberFormat="1" applyFont="1" applyFill="1" applyBorder="1"/>
    <xf numFmtId="0" fontId="6" fillId="0" borderId="57" xfId="0" applyNumberFormat="1" applyFont="1" applyBorder="1"/>
    <xf numFmtId="0" fontId="6" fillId="0" borderId="82" xfId="0" applyNumberFormat="1" applyFont="1" applyBorder="1"/>
    <xf numFmtId="0" fontId="7" fillId="3" borderId="100" xfId="4" applyFont="1" applyFill="1" applyBorder="1" applyAlignment="1"/>
    <xf numFmtId="0" fontId="42" fillId="3" borderId="72" xfId="4" applyFont="1" applyFill="1" applyBorder="1" applyAlignment="1"/>
    <xf numFmtId="0" fontId="33" fillId="3" borderId="72" xfId="4" applyFont="1" applyFill="1" applyBorder="1" applyAlignment="1"/>
    <xf numFmtId="0" fontId="7" fillId="3" borderId="72" xfId="4" applyFont="1" applyFill="1" applyBorder="1" applyAlignment="1"/>
    <xf numFmtId="3" fontId="7" fillId="3" borderId="72" xfId="0" applyNumberFormat="1" applyFont="1" applyFill="1" applyBorder="1"/>
    <xf numFmtId="4" fontId="7" fillId="3" borderId="73" xfId="0" applyNumberFormat="1" applyFont="1" applyFill="1" applyBorder="1"/>
    <xf numFmtId="0" fontId="6" fillId="2" borderId="77" xfId="0" applyFont="1" applyFill="1" applyBorder="1"/>
    <xf numFmtId="0" fontId="8" fillId="2" borderId="54" xfId="0" applyFont="1" applyFill="1" applyBorder="1" applyAlignment="1">
      <alignment horizontal="left" vertical="center"/>
    </xf>
    <xf numFmtId="0" fontId="6" fillId="2" borderId="74" xfId="0" applyFont="1" applyFill="1" applyBorder="1" applyAlignment="1">
      <alignment vertical="top"/>
    </xf>
    <xf numFmtId="0" fontId="7" fillId="3" borderId="100" xfId="0" applyFont="1" applyFill="1" applyBorder="1" applyAlignment="1">
      <alignment horizontal="left"/>
    </xf>
    <xf numFmtId="0" fontId="42" fillId="3" borderId="72" xfId="0" applyFont="1" applyFill="1" applyBorder="1" applyAlignment="1">
      <alignment horizontal="left"/>
    </xf>
    <xf numFmtId="0" fontId="42" fillId="0" borderId="0" xfId="0" applyFont="1"/>
    <xf numFmtId="0" fontId="7" fillId="0" borderId="0" xfId="0" applyFont="1"/>
    <xf numFmtId="0" fontId="6" fillId="2" borderId="101" xfId="0" applyFont="1" applyFill="1" applyBorder="1"/>
    <xf numFmtId="3" fontId="6" fillId="2" borderId="101" xfId="0" applyNumberFormat="1" applyFont="1" applyFill="1" applyBorder="1"/>
    <xf numFmtId="4" fontId="6" fillId="2" borderId="101" xfId="0" applyNumberFormat="1" applyFont="1" applyFill="1" applyBorder="1"/>
    <xf numFmtId="0" fontId="7" fillId="3" borderId="102" xfId="4" applyFont="1" applyFill="1" applyBorder="1" applyAlignment="1">
      <alignment horizontal="left"/>
    </xf>
    <xf numFmtId="0" fontId="7" fillId="3" borderId="103" xfId="4" applyFont="1" applyFill="1" applyBorder="1" applyAlignment="1">
      <alignment horizontal="left"/>
    </xf>
    <xf numFmtId="0" fontId="7" fillId="3" borderId="98" xfId="4" applyFont="1" applyFill="1" applyBorder="1"/>
    <xf numFmtId="3" fontId="7" fillId="3" borderId="98" xfId="4" applyNumberFormat="1" applyFont="1" applyFill="1" applyBorder="1"/>
    <xf numFmtId="4" fontId="30" fillId="3" borderId="104" xfId="0" applyNumberFormat="1" applyFont="1" applyFill="1" applyBorder="1"/>
    <xf numFmtId="0" fontId="6" fillId="2" borderId="105" xfId="0" applyFont="1" applyFill="1" applyBorder="1"/>
    <xf numFmtId="0" fontId="30" fillId="2" borderId="23" xfId="0" applyFont="1" applyFill="1" applyBorder="1" applyAlignment="1">
      <alignment wrapText="1"/>
    </xf>
    <xf numFmtId="0" fontId="8" fillId="2" borderId="23" xfId="0" applyFont="1" applyFill="1" applyBorder="1"/>
    <xf numFmtId="0" fontId="30" fillId="2" borderId="23" xfId="0" applyFont="1" applyFill="1" applyBorder="1"/>
    <xf numFmtId="4" fontId="30" fillId="2" borderId="106" xfId="0" applyNumberFormat="1" applyFont="1" applyFill="1" applyBorder="1"/>
    <xf numFmtId="0" fontId="30" fillId="2" borderId="0" xfId="0" applyFont="1" applyFill="1"/>
    <xf numFmtId="0" fontId="6" fillId="2" borderId="107" xfId="0" applyFont="1" applyFill="1" applyBorder="1"/>
    <xf numFmtId="0" fontId="8" fillId="0" borderId="39" xfId="0" applyFont="1" applyBorder="1" applyAlignment="1">
      <alignment horizontal="right"/>
    </xf>
    <xf numFmtId="3" fontId="8" fillId="0" borderId="39" xfId="0" applyNumberFormat="1" applyFont="1" applyBorder="1"/>
    <xf numFmtId="4" fontId="8" fillId="0" borderId="108" xfId="0" applyNumberFormat="1" applyFont="1" applyBorder="1"/>
    <xf numFmtId="0" fontId="30" fillId="0" borderId="109" xfId="0" applyFont="1" applyBorder="1"/>
    <xf numFmtId="0" fontId="8" fillId="0" borderId="84" xfId="0" applyFont="1" applyBorder="1" applyAlignment="1">
      <alignment horizontal="right"/>
    </xf>
    <xf numFmtId="0" fontId="8" fillId="0" borderId="84" xfId="0" applyFont="1" applyBorder="1"/>
    <xf numFmtId="3" fontId="8" fillId="0" borderId="84" xfId="0" applyNumberFormat="1" applyFont="1" applyBorder="1"/>
    <xf numFmtId="4" fontId="8" fillId="0" borderId="110" xfId="0" applyNumberFormat="1" applyFont="1" applyBorder="1"/>
    <xf numFmtId="0" fontId="7" fillId="3" borderId="111" xfId="0" applyFont="1" applyFill="1" applyBorder="1" applyAlignment="1">
      <alignment horizontal="left"/>
    </xf>
    <xf numFmtId="0" fontId="7" fillId="3" borderId="72" xfId="0" applyFont="1" applyFill="1" applyBorder="1" applyAlignment="1">
      <alignment horizontal="left"/>
    </xf>
    <xf numFmtId="4" fontId="7" fillId="3" borderId="112" xfId="0" applyNumberFormat="1" applyFont="1" applyFill="1" applyBorder="1"/>
    <xf numFmtId="3" fontId="6" fillId="0" borderId="0" xfId="0" applyNumberFormat="1" applyFont="1" applyBorder="1"/>
    <xf numFmtId="4" fontId="6" fillId="0" borderId="0" xfId="0" applyNumberFormat="1" applyFont="1" applyBorder="1"/>
    <xf numFmtId="3" fontId="6" fillId="0" borderId="0" xfId="0" applyNumberFormat="1" applyFont="1"/>
    <xf numFmtId="4" fontId="6" fillId="0" borderId="0" xfId="0" applyNumberFormat="1" applyFont="1"/>
    <xf numFmtId="3" fontId="11" fillId="0" borderId="0" xfId="0" applyNumberFormat="1" applyFont="1"/>
    <xf numFmtId="0" fontId="8" fillId="0" borderId="0" xfId="4" applyFont="1"/>
    <xf numFmtId="0" fontId="8" fillId="0" borderId="0" xfId="4" applyFont="1" applyAlignment="1">
      <alignment horizontal="center"/>
    </xf>
    <xf numFmtId="49" fontId="26" fillId="0" borderId="0" xfId="4" applyNumberFormat="1" applyFont="1" applyAlignment="1">
      <alignment horizontal="left"/>
    </xf>
    <xf numFmtId="49" fontId="4" fillId="0" borderId="0" xfId="4" applyNumberFormat="1" applyFont="1" applyAlignment="1">
      <alignment horizontal="center"/>
    </xf>
    <xf numFmtId="0" fontId="29" fillId="0" borderId="0" xfId="4" applyFont="1"/>
    <xf numFmtId="49" fontId="2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4" fillId="0" borderId="0" xfId="4" applyNumberFormat="1" applyFont="1" applyFill="1" applyAlignment="1">
      <alignment horizontal="right"/>
    </xf>
    <xf numFmtId="49" fontId="2" fillId="0" borderId="0" xfId="4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4" fillId="0" borderId="0" xfId="4" applyFont="1" applyFill="1" applyAlignment="1">
      <alignment horizontal="right"/>
    </xf>
    <xf numFmtId="0" fontId="8" fillId="0" borderId="0" xfId="4" applyFont="1" applyFill="1" applyAlignment="1">
      <alignment horizontal="right"/>
    </xf>
    <xf numFmtId="0" fontId="4" fillId="3" borderId="113" xfId="4" applyFont="1" applyFill="1" applyBorder="1" applyAlignment="1">
      <alignment horizontal="center"/>
    </xf>
    <xf numFmtId="0" fontId="4" fillId="3" borderId="114" xfId="4" applyFont="1" applyFill="1" applyBorder="1" applyAlignment="1">
      <alignment horizontal="center"/>
    </xf>
    <xf numFmtId="0" fontId="7" fillId="3" borderId="115" xfId="4" applyFont="1" applyFill="1" applyBorder="1" applyAlignment="1">
      <alignment horizontal="center"/>
    </xf>
    <xf numFmtId="0" fontId="7" fillId="3" borderId="115" xfId="4" applyFont="1" applyFill="1" applyBorder="1" applyAlignment="1">
      <alignment horizontal="center" shrinkToFit="1"/>
    </xf>
    <xf numFmtId="0" fontId="5" fillId="3" borderId="131" xfId="4" applyFont="1" applyFill="1" applyBorder="1" applyAlignment="1">
      <alignment horizontal="center"/>
    </xf>
    <xf numFmtId="0" fontId="8" fillId="3" borderId="132" xfId="4" applyFont="1" applyFill="1" applyBorder="1" applyAlignment="1">
      <alignment horizontal="center"/>
    </xf>
    <xf numFmtId="3" fontId="5" fillId="3" borderId="133" xfId="4" applyNumberFormat="1" applyFont="1" applyFill="1" applyBorder="1" applyAlignment="1">
      <alignment horizontal="center"/>
    </xf>
    <xf numFmtId="3" fontId="5" fillId="3" borderId="134" xfId="4" applyNumberFormat="1" applyFont="1" applyFill="1" applyBorder="1" applyAlignment="1">
      <alignment horizontal="center"/>
    </xf>
    <xf numFmtId="3" fontId="5" fillId="3" borderId="135" xfId="4" applyNumberFormat="1" applyFont="1" applyFill="1" applyBorder="1" applyAlignment="1">
      <alignment horizontal="center"/>
    </xf>
    <xf numFmtId="3" fontId="5" fillId="3" borderId="136" xfId="4" applyNumberFormat="1" applyFont="1" applyFill="1" applyBorder="1" applyAlignment="1">
      <alignment horizontal="center"/>
    </xf>
    <xf numFmtId="3" fontId="5" fillId="3" borderId="137" xfId="4" applyNumberFormat="1" applyFont="1" applyFill="1" applyBorder="1" applyAlignment="1">
      <alignment horizontal="center"/>
    </xf>
    <xf numFmtId="3" fontId="5" fillId="3" borderId="138" xfId="4" applyNumberFormat="1" applyFont="1" applyFill="1" applyBorder="1" applyAlignment="1">
      <alignment horizontal="center"/>
    </xf>
    <xf numFmtId="0" fontId="8" fillId="0" borderId="0" xfId="4" applyFont="1" applyBorder="1"/>
    <xf numFmtId="49" fontId="7" fillId="3" borderId="139" xfId="4" applyNumberFormat="1" applyFont="1" applyFill="1" applyBorder="1" applyAlignment="1">
      <alignment vertical="center"/>
    </xf>
    <xf numFmtId="49" fontId="4" fillId="3" borderId="140" xfId="4" applyNumberFormat="1" applyFont="1" applyFill="1" applyBorder="1" applyAlignment="1">
      <alignment horizontal="center" vertical="center"/>
    </xf>
    <xf numFmtId="3" fontId="7" fillId="3" borderId="116" xfId="4" applyNumberFormat="1" applyFont="1" applyFill="1" applyBorder="1" applyAlignment="1">
      <alignment vertical="center"/>
    </xf>
    <xf numFmtId="3" fontId="7" fillId="3" borderId="80" xfId="4" applyNumberFormat="1" applyFont="1" applyFill="1" applyBorder="1" applyAlignment="1">
      <alignment vertical="center"/>
    </xf>
    <xf numFmtId="3" fontId="7" fillId="3" borderId="117" xfId="4" applyNumberFormat="1" applyFont="1" applyFill="1" applyBorder="1" applyAlignment="1">
      <alignment vertical="center"/>
    </xf>
    <xf numFmtId="3" fontId="7" fillId="3" borderId="115" xfId="4" applyNumberFormat="1" applyFont="1" applyFill="1" applyBorder="1" applyAlignment="1">
      <alignment vertical="center"/>
    </xf>
    <xf numFmtId="3" fontId="7" fillId="3" borderId="141" xfId="4" applyNumberFormat="1" applyFont="1" applyFill="1" applyBorder="1" applyAlignment="1">
      <alignment vertical="center"/>
    </xf>
    <xf numFmtId="10" fontId="7" fillId="3" borderId="117" xfId="4" applyNumberFormat="1" applyFont="1" applyFill="1" applyBorder="1" applyAlignment="1">
      <alignment vertical="center"/>
    </xf>
    <xf numFmtId="3" fontId="6" fillId="0" borderId="0" xfId="4" applyNumberFormat="1" applyFont="1" applyFill="1" applyBorder="1"/>
    <xf numFmtId="49" fontId="6" fillId="0" borderId="118" xfId="4" applyNumberFormat="1" applyFont="1" applyBorder="1"/>
    <xf numFmtId="49" fontId="4" fillId="0" borderId="119" xfId="4" applyNumberFormat="1" applyFont="1" applyBorder="1" applyAlignment="1">
      <alignment horizontal="center"/>
    </xf>
    <xf numFmtId="3" fontId="6" fillId="0" borderId="121" xfId="4" applyNumberFormat="1" applyFont="1" applyBorder="1"/>
    <xf numFmtId="3" fontId="6" fillId="0" borderId="39" xfId="4" applyNumberFormat="1" applyFont="1" applyBorder="1"/>
    <xf numFmtId="3" fontId="6" fillId="0" borderId="142" xfId="4" applyNumberFormat="1" applyFont="1" applyBorder="1"/>
    <xf numFmtId="3" fontId="6" fillId="0" borderId="123" xfId="4" applyNumberFormat="1" applyFont="1" applyBorder="1"/>
    <xf numFmtId="3" fontId="6" fillId="0" borderId="107" xfId="4" applyNumberFormat="1" applyFont="1" applyBorder="1"/>
    <xf numFmtId="10" fontId="6" fillId="0" borderId="142" xfId="4" applyNumberFormat="1" applyFont="1" applyBorder="1"/>
    <xf numFmtId="49" fontId="6" fillId="0" borderId="118" xfId="4" applyNumberFormat="1" applyFont="1" applyBorder="1" applyAlignment="1">
      <alignment wrapText="1"/>
    </xf>
    <xf numFmtId="49" fontId="4" fillId="0" borderId="119" xfId="4" applyNumberFormat="1" applyFont="1" applyBorder="1" applyAlignment="1">
      <alignment horizontal="center" wrapText="1"/>
    </xf>
    <xf numFmtId="3" fontId="6" fillId="0" borderId="84" xfId="4" applyNumberFormat="1" applyFont="1" applyBorder="1"/>
    <xf numFmtId="3" fontId="8" fillId="0" borderId="123" xfId="4" applyNumberFormat="1" applyFont="1" applyBorder="1" applyAlignment="1">
      <alignment horizontal="center"/>
    </xf>
    <xf numFmtId="0" fontId="6" fillId="0" borderId="0" xfId="4" applyFont="1" applyBorder="1"/>
    <xf numFmtId="0" fontId="6" fillId="0" borderId="0" xfId="4" applyFont="1"/>
    <xf numFmtId="49" fontId="7" fillId="0" borderId="118" xfId="4" applyNumberFormat="1" applyFont="1" applyBorder="1"/>
    <xf numFmtId="3" fontId="7" fillId="0" borderId="121" xfId="4" applyNumberFormat="1" applyFont="1" applyBorder="1"/>
    <xf numFmtId="3" fontId="7" fillId="0" borderId="39" xfId="4" applyNumberFormat="1" applyFont="1" applyBorder="1"/>
    <xf numFmtId="3" fontId="7" fillId="0" borderId="142" xfId="4" applyNumberFormat="1" applyFont="1" applyBorder="1"/>
    <xf numFmtId="3" fontId="7" fillId="0" borderId="123" xfId="4" applyNumberFormat="1" applyFont="1" applyBorder="1"/>
    <xf numFmtId="3" fontId="7" fillId="0" borderId="107" xfId="4" applyNumberFormat="1" applyFont="1" applyBorder="1"/>
    <xf numFmtId="10" fontId="7" fillId="0" borderId="142" xfId="4" applyNumberFormat="1" applyFont="1" applyBorder="1"/>
    <xf numFmtId="49" fontId="4" fillId="0" borderId="119" xfId="4" applyNumberFormat="1" applyFont="1" applyBorder="1" applyAlignment="1">
      <alignment horizontal="center" vertical="center" wrapText="1"/>
    </xf>
    <xf numFmtId="3" fontId="6" fillId="0" borderId="121" xfId="4" applyNumberFormat="1" applyFont="1" applyBorder="1" applyAlignment="1">
      <alignment vertical="center"/>
    </xf>
    <xf numFmtId="3" fontId="6" fillId="0" borderId="39" xfId="4" applyNumberFormat="1" applyFont="1" applyBorder="1" applyAlignment="1">
      <alignment vertical="center"/>
    </xf>
    <xf numFmtId="3" fontId="6" fillId="0" borderId="142" xfId="4" applyNumberFormat="1" applyFont="1" applyBorder="1" applyAlignment="1">
      <alignment vertical="center"/>
    </xf>
    <xf numFmtId="3" fontId="6" fillId="0" borderId="123" xfId="4" applyNumberFormat="1" applyFont="1" applyBorder="1" applyAlignment="1">
      <alignment vertical="center"/>
    </xf>
    <xf numFmtId="3" fontId="6" fillId="0" borderId="107" xfId="4" applyNumberFormat="1" applyFont="1" applyBorder="1" applyAlignment="1">
      <alignment vertical="center"/>
    </xf>
    <xf numFmtId="10" fontId="6" fillId="0" borderId="142" xfId="4" applyNumberFormat="1" applyFont="1" applyBorder="1" applyAlignment="1">
      <alignment vertical="center"/>
    </xf>
    <xf numFmtId="49" fontId="4" fillId="0" borderId="119" xfId="4" applyNumberFormat="1" applyFont="1" applyBorder="1" applyAlignment="1">
      <alignment horizontal="center" shrinkToFit="1"/>
    </xf>
    <xf numFmtId="49" fontId="8" fillId="0" borderId="118" xfId="4" applyNumberFormat="1" applyFont="1" applyBorder="1"/>
    <xf numFmtId="49" fontId="8" fillId="0" borderId="119" xfId="4" applyNumberFormat="1" applyFont="1" applyBorder="1" applyAlignment="1">
      <alignment horizontal="center"/>
    </xf>
    <xf numFmtId="49" fontId="7" fillId="3" borderId="143" xfId="4" applyNumberFormat="1" applyFont="1" applyFill="1" applyBorder="1" applyAlignment="1">
      <alignment vertical="center"/>
    </xf>
    <xf numFmtId="49" fontId="4" fillId="3" borderId="144" xfId="4" applyNumberFormat="1" applyFont="1" applyFill="1" applyBorder="1" applyAlignment="1">
      <alignment horizontal="center" vertical="center"/>
    </xf>
    <xf numFmtId="3" fontId="7" fillId="3" borderId="145" xfId="4" applyNumberFormat="1" applyFont="1" applyFill="1" applyBorder="1" applyAlignment="1">
      <alignment vertical="center"/>
    </xf>
    <xf numFmtId="3" fontId="7" fillId="3" borderId="111" xfId="4" applyNumberFormat="1" applyFont="1" applyFill="1" applyBorder="1" applyAlignment="1">
      <alignment vertical="center"/>
    </xf>
    <xf numFmtId="3" fontId="7" fillId="3" borderId="98" xfId="4" applyNumberFormat="1" applyFont="1" applyFill="1" applyBorder="1" applyAlignment="1">
      <alignment vertical="center"/>
    </xf>
    <xf numFmtId="3" fontId="7" fillId="3" borderId="146" xfId="4" applyNumberFormat="1" applyFont="1" applyFill="1" applyBorder="1" applyAlignment="1">
      <alignment vertical="center"/>
    </xf>
    <xf numFmtId="3" fontId="7" fillId="3" borderId="147" xfId="4" applyNumberFormat="1" applyFont="1" applyFill="1" applyBorder="1" applyAlignment="1">
      <alignment vertical="center"/>
    </xf>
    <xf numFmtId="49" fontId="7" fillId="3" borderId="148" xfId="4" applyNumberFormat="1" applyFont="1" applyFill="1" applyBorder="1"/>
    <xf numFmtId="49" fontId="4" fillId="3" borderId="149" xfId="4" applyNumberFormat="1" applyFont="1" applyFill="1" applyBorder="1" applyAlignment="1">
      <alignment horizontal="center"/>
    </xf>
    <xf numFmtId="3" fontId="7" fillId="3" borderId="145" xfId="4" applyNumberFormat="1" applyFont="1" applyFill="1" applyBorder="1"/>
    <xf numFmtId="3" fontId="7" fillId="3" borderId="150" xfId="4" applyNumberFormat="1" applyFont="1" applyFill="1" applyBorder="1"/>
    <xf numFmtId="3" fontId="7" fillId="3" borderId="146" xfId="4" applyNumberFormat="1" applyFont="1" applyFill="1" applyBorder="1"/>
    <xf numFmtId="3" fontId="7" fillId="3" borderId="151" xfId="4" applyNumberFormat="1" applyFont="1" applyFill="1" applyBorder="1"/>
    <xf numFmtId="3" fontId="7" fillId="3" borderId="141" xfId="4" applyNumberFormat="1" applyFont="1" applyFill="1" applyBorder="1"/>
    <xf numFmtId="10" fontId="7" fillId="3" borderId="152" xfId="4" applyNumberFormat="1" applyFont="1" applyFill="1" applyBorder="1"/>
    <xf numFmtId="0" fontId="21" fillId="0" borderId="0" xfId="4" applyFont="1" applyBorder="1"/>
    <xf numFmtId="49" fontId="2" fillId="3" borderId="153" xfId="4" applyNumberFormat="1" applyFont="1" applyFill="1" applyBorder="1" applyAlignment="1">
      <alignment vertical="center"/>
    </xf>
    <xf numFmtId="49" fontId="4" fillId="3" borderId="154" xfId="4" applyNumberFormat="1" applyFont="1" applyFill="1" applyBorder="1" applyAlignment="1">
      <alignment horizontal="center" vertical="center"/>
    </xf>
    <xf numFmtId="3" fontId="2" fillId="3" borderId="155" xfId="4" applyNumberFormat="1" applyFont="1" applyFill="1" applyBorder="1" applyAlignment="1">
      <alignment vertical="center"/>
    </xf>
    <xf numFmtId="3" fontId="2" fillId="3" borderId="156" xfId="4" applyNumberFormat="1" applyFont="1" applyFill="1" applyBorder="1" applyAlignment="1">
      <alignment vertical="center"/>
    </xf>
    <xf numFmtId="3" fontId="7" fillId="3" borderId="157" xfId="4" applyNumberFormat="1" applyFont="1" applyFill="1" applyBorder="1" applyAlignment="1">
      <alignment vertical="center"/>
    </xf>
    <xf numFmtId="10" fontId="7" fillId="3" borderId="158" xfId="4" applyNumberFormat="1" applyFont="1" applyFill="1" applyBorder="1" applyAlignment="1">
      <alignment vertical="center"/>
    </xf>
    <xf numFmtId="3" fontId="2" fillId="0" borderId="0" xfId="4" applyNumberFormat="1" applyFont="1" applyFill="1" applyBorder="1"/>
    <xf numFmtId="0" fontId="21" fillId="0" borderId="0" xfId="4" applyFont="1"/>
    <xf numFmtId="0" fontId="8" fillId="0" borderId="145" xfId="4" applyFont="1" applyBorder="1"/>
    <xf numFmtId="0" fontId="8" fillId="0" borderId="159" xfId="4" applyFont="1" applyBorder="1" applyAlignment="1">
      <alignment horizontal="center"/>
    </xf>
    <xf numFmtId="3" fontId="8" fillId="0" borderId="151" xfId="4" applyNumberFormat="1" applyFont="1" applyBorder="1" applyAlignment="1">
      <alignment horizontal="right"/>
    </xf>
    <xf numFmtId="0" fontId="8" fillId="0" borderId="146" xfId="4" applyFont="1" applyBorder="1"/>
    <xf numFmtId="0" fontId="8" fillId="0" borderId="160" xfId="4" applyFont="1" applyBorder="1"/>
    <xf numFmtId="3" fontId="8" fillId="0" borderId="151" xfId="4" applyNumberFormat="1" applyFont="1" applyFill="1" applyBorder="1"/>
    <xf numFmtId="0" fontId="8" fillId="0" borderId="161" xfId="4" applyFont="1" applyFill="1" applyBorder="1"/>
    <xf numFmtId="0" fontId="8" fillId="0" borderId="160" xfId="4" applyFont="1" applyFill="1" applyBorder="1"/>
    <xf numFmtId="3" fontId="7" fillId="0" borderId="0" xfId="4" applyNumberFormat="1" applyFont="1" applyFill="1" applyBorder="1"/>
    <xf numFmtId="49" fontId="2" fillId="3" borderId="153" xfId="4" applyNumberFormat="1" applyFont="1" applyFill="1" applyBorder="1"/>
    <xf numFmtId="49" fontId="4" fillId="3" borderId="162" xfId="4" applyNumberFormat="1" applyFont="1" applyFill="1" applyBorder="1" applyAlignment="1">
      <alignment horizontal="center"/>
    </xf>
    <xf numFmtId="3" fontId="2" fillId="3" borderId="163" xfId="4" applyNumberFormat="1" applyFont="1" applyFill="1" applyBorder="1"/>
    <xf numFmtId="3" fontId="2" fillId="3" borderId="157" xfId="4" applyNumberFormat="1" applyFont="1" applyFill="1" applyBorder="1"/>
    <xf numFmtId="3" fontId="2" fillId="3" borderId="156" xfId="4" applyNumberFormat="1" applyFont="1" applyFill="1" applyBorder="1"/>
    <xf numFmtId="3" fontId="2" fillId="3" borderId="158" xfId="4" applyNumberFormat="1" applyFont="1" applyFill="1" applyBorder="1"/>
    <xf numFmtId="3" fontId="2" fillId="3" borderId="164" xfId="4" applyNumberFormat="1" applyFont="1" applyFill="1" applyBorder="1"/>
    <xf numFmtId="10" fontId="2" fillId="3" borderId="158" xfId="4" applyNumberFormat="1" applyFont="1" applyFill="1" applyBorder="1"/>
    <xf numFmtId="4" fontId="8" fillId="0" borderId="0" xfId="4" applyNumberFormat="1" applyFont="1"/>
    <xf numFmtId="3" fontId="8" fillId="0" borderId="0" xfId="4" applyNumberFormat="1" applyFont="1" applyFill="1"/>
    <xf numFmtId="0" fontId="45" fillId="0" borderId="0" xfId="4" applyFont="1"/>
    <xf numFmtId="0" fontId="4" fillId="0" borderId="0" xfId="4" applyFont="1" applyAlignment="1">
      <alignment horizontal="center"/>
    </xf>
    <xf numFmtId="0" fontId="7" fillId="0" borderId="0" xfId="4" applyFont="1"/>
    <xf numFmtId="49" fontId="7" fillId="3" borderId="167" xfId="4" applyNumberFormat="1" applyFont="1" applyFill="1" applyBorder="1" applyAlignment="1">
      <alignment vertical="center"/>
    </xf>
    <xf numFmtId="49" fontId="4" fillId="3" borderId="168" xfId="4" applyNumberFormat="1" applyFont="1" applyFill="1" applyBorder="1" applyAlignment="1">
      <alignment horizontal="center" vertical="center"/>
    </xf>
    <xf numFmtId="3" fontId="7" fillId="3" borderId="95" xfId="4" applyNumberFormat="1" applyFont="1" applyFill="1" applyBorder="1" applyAlignment="1">
      <alignment vertical="center"/>
    </xf>
    <xf numFmtId="3" fontId="7" fillId="3" borderId="56" xfId="4" applyNumberFormat="1" applyFont="1" applyFill="1" applyBorder="1" applyAlignment="1">
      <alignment vertical="center"/>
    </xf>
    <xf numFmtId="3" fontId="7" fillId="3" borderId="169" xfId="4" applyNumberFormat="1" applyFont="1" applyFill="1" applyBorder="1" applyAlignment="1">
      <alignment vertical="center"/>
    </xf>
    <xf numFmtId="3" fontId="7" fillId="3" borderId="67" xfId="4" applyNumberFormat="1" applyFont="1" applyFill="1" applyBorder="1" applyAlignment="1">
      <alignment vertical="center"/>
    </xf>
    <xf numFmtId="10" fontId="7" fillId="3" borderId="92" xfId="4" applyNumberFormat="1" applyFont="1" applyFill="1" applyBorder="1" applyAlignment="1">
      <alignment vertical="center"/>
    </xf>
    <xf numFmtId="0" fontId="7" fillId="0" borderId="0" xfId="4" applyFont="1" applyFill="1"/>
    <xf numFmtId="49" fontId="4" fillId="0" borderId="165" xfId="4" applyNumberFormat="1" applyFont="1" applyBorder="1" applyAlignment="1">
      <alignment horizontal="center"/>
    </xf>
    <xf numFmtId="3" fontId="6" fillId="0" borderId="31" xfId="4" applyNumberFormat="1" applyFont="1" applyBorder="1"/>
    <xf numFmtId="3" fontId="6" fillId="0" borderId="0" xfId="4" applyNumberFormat="1" applyFont="1" applyBorder="1"/>
    <xf numFmtId="49" fontId="4" fillId="0" borderId="165" xfId="4" applyNumberFormat="1" applyFont="1" applyBorder="1" applyAlignment="1">
      <alignment horizontal="center" wrapText="1"/>
    </xf>
    <xf numFmtId="3" fontId="7" fillId="3" borderId="88" xfId="4" applyNumberFormat="1" applyFont="1" applyFill="1" applyBorder="1" applyAlignment="1">
      <alignment vertical="center"/>
    </xf>
    <xf numFmtId="3" fontId="6" fillId="0" borderId="133" xfId="4" applyNumberFormat="1" applyFont="1" applyBorder="1"/>
    <xf numFmtId="49" fontId="4" fillId="3" borderId="144" xfId="4" applyNumberFormat="1" applyFont="1" applyFill="1" applyBorder="1" applyAlignment="1">
      <alignment horizontal="center" vertical="center" wrapText="1"/>
    </xf>
    <xf numFmtId="3" fontId="7" fillId="3" borderId="170" xfId="4" applyNumberFormat="1" applyFont="1" applyFill="1" applyBorder="1" applyAlignment="1">
      <alignment vertical="center"/>
    </xf>
    <xf numFmtId="3" fontId="7" fillId="3" borderId="71" xfId="4" applyNumberFormat="1" applyFont="1" applyFill="1" applyBorder="1" applyAlignment="1">
      <alignment vertical="center"/>
    </xf>
    <xf numFmtId="3" fontId="7" fillId="3" borderId="72" xfId="4" applyNumberFormat="1" applyFont="1" applyFill="1" applyBorder="1" applyAlignment="1">
      <alignment vertical="center"/>
    </xf>
    <xf numFmtId="3" fontId="7" fillId="3" borderId="171" xfId="4" applyNumberFormat="1" applyFont="1" applyFill="1" applyBorder="1" applyAlignment="1">
      <alignment vertical="center"/>
    </xf>
    <xf numFmtId="10" fontId="7" fillId="3" borderId="172" xfId="4" applyNumberFormat="1" applyFont="1" applyFill="1" applyBorder="1" applyAlignment="1">
      <alignment vertical="center"/>
    </xf>
    <xf numFmtId="49" fontId="32" fillId="0" borderId="123" xfId="4" applyNumberFormat="1" applyFont="1" applyBorder="1" applyAlignment="1">
      <alignment wrapText="1"/>
    </xf>
    <xf numFmtId="49" fontId="4" fillId="0" borderId="165" xfId="4" applyNumberFormat="1" applyFont="1" applyBorder="1" applyAlignment="1">
      <alignment horizontal="center" vertical="center" wrapText="1"/>
    </xf>
    <xf numFmtId="3" fontId="6" fillId="0" borderId="31" xfId="4" applyNumberFormat="1" applyFont="1" applyBorder="1" applyAlignment="1">
      <alignment vertical="center"/>
    </xf>
    <xf numFmtId="3" fontId="6" fillId="0" borderId="0" xfId="4" applyNumberFormat="1" applyFont="1" applyBorder="1" applyAlignment="1">
      <alignment vertical="center"/>
    </xf>
    <xf numFmtId="0" fontId="6" fillId="0" borderId="123" xfId="4" applyFont="1" applyBorder="1" applyAlignment="1">
      <alignment wrapText="1"/>
    </xf>
    <xf numFmtId="49" fontId="4" fillId="0" borderId="165" xfId="4" applyNumberFormat="1" applyFont="1" applyBorder="1" applyAlignment="1">
      <alignment horizontal="center" shrinkToFit="1"/>
    </xf>
    <xf numFmtId="49" fontId="4" fillId="3" borderId="162" xfId="4" applyNumberFormat="1" applyFont="1" applyFill="1" applyBorder="1" applyAlignment="1">
      <alignment horizontal="center" vertical="center"/>
    </xf>
    <xf numFmtId="3" fontId="2" fillId="3" borderId="173" xfId="4" applyNumberFormat="1" applyFont="1" applyFill="1" applyBorder="1" applyAlignment="1">
      <alignment vertical="center"/>
    </xf>
    <xf numFmtId="3" fontId="2" fillId="3" borderId="164" xfId="4" applyNumberFormat="1" applyFont="1" applyFill="1" applyBorder="1" applyAlignment="1">
      <alignment vertical="center"/>
    </xf>
    <xf numFmtId="10" fontId="2" fillId="3" borderId="158" xfId="4" applyNumberFormat="1" applyFont="1" applyFill="1" applyBorder="1" applyAlignment="1">
      <alignment vertical="center"/>
    </xf>
    <xf numFmtId="0" fontId="2" fillId="0" borderId="0" xfId="4" applyFont="1"/>
    <xf numFmtId="0" fontId="8" fillId="0" borderId="174" xfId="4" applyFont="1" applyBorder="1"/>
    <xf numFmtId="0" fontId="8" fillId="0" borderId="175" xfId="4" applyFont="1" applyFill="1" applyBorder="1"/>
    <xf numFmtId="3" fontId="2" fillId="3" borderId="173" xfId="4" applyNumberFormat="1" applyFont="1" applyFill="1" applyBorder="1"/>
    <xf numFmtId="3" fontId="2" fillId="3" borderId="155" xfId="4" applyNumberFormat="1" applyFont="1" applyFill="1" applyBorder="1"/>
    <xf numFmtId="0" fontId="8" fillId="0" borderId="0" xfId="5" applyFont="1"/>
    <xf numFmtId="3" fontId="7" fillId="0" borderId="0" xfId="5" applyNumberFormat="1" applyFont="1" applyBorder="1" applyAlignment="1">
      <alignment horizontal="left" vertical="center" wrapText="1"/>
    </xf>
    <xf numFmtId="0" fontId="7" fillId="0" borderId="0" xfId="5" applyFont="1" applyBorder="1" applyAlignment="1">
      <alignment horizontal="left" vertical="center"/>
    </xf>
    <xf numFmtId="0" fontId="6" fillId="0" borderId="0" xfId="5" applyFont="1" applyBorder="1" applyAlignment="1">
      <alignment horizontal="left" vertical="top" wrapText="1"/>
    </xf>
    <xf numFmtId="3" fontId="6" fillId="0" borderId="0" xfId="5" applyNumberFormat="1" applyFont="1" applyBorder="1" applyAlignment="1">
      <alignment horizontal="left" vertical="top" wrapText="1"/>
    </xf>
    <xf numFmtId="3" fontId="7" fillId="3" borderId="7" xfId="4" applyNumberFormat="1" applyFont="1" applyFill="1" applyBorder="1" applyAlignment="1">
      <alignment horizontal="left" vertical="center" wrapText="1"/>
    </xf>
    <xf numFmtId="0" fontId="7" fillId="3" borderId="7" xfId="4" applyFont="1" applyFill="1" applyBorder="1" applyAlignment="1">
      <alignment horizontal="left" vertical="center"/>
    </xf>
    <xf numFmtId="3" fontId="7" fillId="0" borderId="0" xfId="5" applyNumberFormat="1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left" vertical="top" wrapText="1"/>
    </xf>
    <xf numFmtId="3" fontId="6" fillId="0" borderId="0" xfId="5" applyNumberFormat="1" applyFont="1" applyFill="1" applyBorder="1" applyAlignment="1">
      <alignment horizontal="left" vertical="top" wrapText="1"/>
    </xf>
    <xf numFmtId="0" fontId="7" fillId="0" borderId="58" xfId="5" applyFont="1" applyBorder="1" applyAlignment="1">
      <alignment horizontal="left" vertical="center"/>
    </xf>
    <xf numFmtId="0" fontId="6" fillId="0" borderId="0" xfId="5" applyFont="1" applyBorder="1" applyAlignment="1">
      <alignment horizontal="justify" vertical="top" wrapText="1"/>
    </xf>
    <xf numFmtId="3" fontId="6" fillId="0" borderId="0" xfId="5" applyNumberFormat="1" applyFont="1" applyBorder="1" applyAlignment="1">
      <alignment horizontal="justify" vertical="top" wrapText="1"/>
    </xf>
    <xf numFmtId="3" fontId="8" fillId="0" borderId="0" xfId="5" applyNumberFormat="1" applyFont="1"/>
    <xf numFmtId="3" fontId="8" fillId="0" borderId="0" xfId="5" applyNumberFormat="1" applyFont="1" applyAlignment="1">
      <alignment wrapText="1"/>
    </xf>
    <xf numFmtId="0" fontId="12" fillId="0" borderId="0" xfId="5" applyFont="1"/>
    <xf numFmtId="4" fontId="7" fillId="3" borderId="55" xfId="4" applyNumberFormat="1" applyFont="1" applyFill="1" applyBorder="1" applyAlignment="1">
      <alignment horizontal="right" vertical="center"/>
    </xf>
    <xf numFmtId="3" fontId="7" fillId="3" borderId="6" xfId="4" applyNumberFormat="1" applyFont="1" applyFill="1" applyBorder="1" applyAlignment="1">
      <alignment horizontal="right" vertical="center" wrapText="1"/>
    </xf>
    <xf numFmtId="3" fontId="7" fillId="3" borderId="7" xfId="4" applyNumberFormat="1" applyFont="1" applyFill="1" applyBorder="1" applyAlignment="1">
      <alignment vertical="center" wrapText="1"/>
    </xf>
    <xf numFmtId="0" fontId="7" fillId="3" borderId="7" xfId="4" applyFont="1" applyFill="1" applyBorder="1" applyAlignment="1">
      <alignment vertical="center"/>
    </xf>
    <xf numFmtId="0" fontId="7" fillId="3" borderId="60" xfId="4" applyFont="1" applyFill="1" applyBorder="1" applyAlignment="1">
      <alignment horizontal="left" vertical="center"/>
    </xf>
    <xf numFmtId="4" fontId="6" fillId="0" borderId="55" xfId="5" applyNumberFormat="1" applyFont="1" applyBorder="1" applyAlignment="1">
      <alignment horizontal="right" vertical="center"/>
    </xf>
    <xf numFmtId="3" fontId="6" fillId="0" borderId="6" xfId="5" applyNumberFormat="1" applyFont="1" applyBorder="1" applyAlignment="1">
      <alignment horizontal="right" vertical="center" wrapText="1"/>
    </xf>
    <xf numFmtId="3" fontId="6" fillId="0" borderId="7" xfId="5" applyNumberFormat="1" applyFont="1" applyBorder="1" applyAlignment="1">
      <alignment horizontal="left" vertical="center" wrapText="1"/>
    </xf>
    <xf numFmtId="0" fontId="6" fillId="0" borderId="6" xfId="5" applyFont="1" applyBorder="1" applyAlignment="1">
      <alignment horizontal="center" vertical="center"/>
    </xf>
    <xf numFmtId="0" fontId="6" fillId="0" borderId="60" xfId="5" applyFont="1" applyBorder="1" applyAlignment="1">
      <alignment horizontal="center" vertical="center"/>
    </xf>
    <xf numFmtId="4" fontId="6" fillId="0" borderId="26" xfId="5" applyNumberFormat="1" applyFont="1" applyBorder="1" applyAlignment="1">
      <alignment horizontal="right" vertical="center"/>
    </xf>
    <xf numFmtId="3" fontId="6" fillId="0" borderId="39" xfId="5" applyNumberFormat="1" applyFont="1" applyBorder="1" applyAlignment="1">
      <alignment horizontal="right" vertical="center" wrapText="1"/>
    </xf>
    <xf numFmtId="3" fontId="6" fillId="0" borderId="0" xfId="5" applyNumberFormat="1" applyFont="1" applyBorder="1" applyAlignment="1">
      <alignment horizontal="left" vertical="center" wrapText="1"/>
    </xf>
    <xf numFmtId="0" fontId="6" fillId="0" borderId="39" xfId="5" applyFont="1" applyBorder="1" applyAlignment="1">
      <alignment horizontal="center" vertical="center"/>
    </xf>
    <xf numFmtId="0" fontId="6" fillId="0" borderId="44" xfId="5" applyFont="1" applyBorder="1" applyAlignment="1">
      <alignment horizontal="center" vertical="center"/>
    </xf>
    <xf numFmtId="3" fontId="6" fillId="0" borderId="52" xfId="5" applyNumberFormat="1" applyFont="1" applyBorder="1" applyAlignment="1">
      <alignment horizontal="right" vertical="center" wrapText="1"/>
    </xf>
    <xf numFmtId="3" fontId="6" fillId="0" borderId="58" xfId="4" applyNumberFormat="1" applyFont="1" applyBorder="1" applyAlignment="1">
      <alignment horizontal="left" vertical="center" wrapText="1"/>
    </xf>
    <xf numFmtId="0" fontId="6" fillId="0" borderId="52" xfId="4" applyFont="1" applyBorder="1" applyAlignment="1">
      <alignment horizontal="center" vertical="center"/>
    </xf>
    <xf numFmtId="0" fontId="6" fillId="0" borderId="176" xfId="4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2" borderId="0" xfId="5" applyFont="1" applyFill="1" applyAlignment="1">
      <alignment horizontal="center"/>
    </xf>
    <xf numFmtId="0" fontId="5" fillId="3" borderId="4" xfId="5" applyFont="1" applyFill="1" applyBorder="1" applyAlignment="1">
      <alignment horizontal="center"/>
    </xf>
    <xf numFmtId="3" fontId="5" fillId="3" borderId="3" xfId="5" applyNumberFormat="1" applyFont="1" applyFill="1" applyBorder="1" applyAlignment="1">
      <alignment horizontal="center" wrapText="1"/>
    </xf>
    <xf numFmtId="0" fontId="5" fillId="3" borderId="3" xfId="5" applyFont="1" applyFill="1" applyBorder="1" applyAlignment="1">
      <alignment horizontal="center"/>
    </xf>
    <xf numFmtId="0" fontId="5" fillId="3" borderId="1" xfId="5" applyFont="1" applyFill="1" applyBorder="1" applyAlignment="1">
      <alignment horizontal="center"/>
    </xf>
    <xf numFmtId="0" fontId="8" fillId="2" borderId="0" xfId="5" applyFont="1" applyFill="1"/>
    <xf numFmtId="0" fontId="8" fillId="3" borderId="4" xfId="5" applyFont="1" applyFill="1" applyBorder="1" applyAlignment="1">
      <alignment horizontal="center" vertical="center"/>
    </xf>
    <xf numFmtId="3" fontId="8" fillId="3" borderId="3" xfId="5" applyNumberFormat="1" applyFont="1" applyFill="1" applyBorder="1" applyAlignment="1">
      <alignment horizontal="center" vertical="center" wrapText="1"/>
    </xf>
    <xf numFmtId="3" fontId="28" fillId="3" borderId="3" xfId="5" applyNumberFormat="1" applyFont="1" applyFill="1" applyBorder="1" applyAlignment="1">
      <alignment horizontal="center" vertical="center" wrapText="1"/>
    </xf>
    <xf numFmtId="0" fontId="8" fillId="3" borderId="3" xfId="5" applyFont="1" applyFill="1" applyBorder="1" applyAlignment="1">
      <alignment horizontal="center" vertical="center"/>
    </xf>
    <xf numFmtId="0" fontId="8" fillId="3" borderId="3" xfId="5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right" vertical="center"/>
    </xf>
    <xf numFmtId="0" fontId="4" fillId="0" borderId="0" xfId="5" applyFont="1" applyAlignment="1">
      <alignment horizontal="right" vertical="center"/>
    </xf>
    <xf numFmtId="0" fontId="6" fillId="0" borderId="0" xfId="5" applyFont="1" applyAlignment="1">
      <alignment horizontal="left" vertical="center"/>
    </xf>
    <xf numFmtId="0" fontId="46" fillId="0" borderId="0" xfId="5" applyFont="1" applyAlignment="1">
      <alignment horizontal="right" vertical="center"/>
    </xf>
    <xf numFmtId="0" fontId="47" fillId="0" borderId="0" xfId="5" applyFont="1"/>
    <xf numFmtId="3" fontId="47" fillId="2" borderId="0" xfId="5" applyNumberFormat="1" applyFont="1" applyFill="1" applyBorder="1"/>
    <xf numFmtId="0" fontId="47" fillId="2" borderId="0" xfId="5" applyFont="1" applyFill="1" applyBorder="1"/>
    <xf numFmtId="0" fontId="47" fillId="2" borderId="0" xfId="5" applyFont="1" applyFill="1" applyBorder="1" applyAlignment="1">
      <alignment horizontal="center"/>
    </xf>
    <xf numFmtId="0" fontId="48" fillId="2" borderId="0" xfId="5" applyFont="1" applyFill="1" applyBorder="1" applyAlignment="1">
      <alignment horizontal="left"/>
    </xf>
    <xf numFmtId="3" fontId="47" fillId="2" borderId="0" xfId="5" applyNumberFormat="1" applyFont="1" applyFill="1"/>
    <xf numFmtId="0" fontId="6" fillId="2" borderId="0" xfId="5" applyFont="1" applyFill="1" applyBorder="1"/>
    <xf numFmtId="0" fontId="47" fillId="2" borderId="0" xfId="5" applyFont="1" applyFill="1" applyAlignment="1">
      <alignment horizontal="center"/>
    </xf>
    <xf numFmtId="0" fontId="47" fillId="2" borderId="0" xfId="5" applyFont="1" applyFill="1" applyAlignment="1">
      <alignment horizontal="left"/>
    </xf>
    <xf numFmtId="0" fontId="6" fillId="2" borderId="0" xfId="5" applyFont="1" applyFill="1" applyAlignment="1">
      <alignment vertical="center"/>
    </xf>
    <xf numFmtId="0" fontId="8" fillId="0" borderId="0" xfId="5" applyFont="1" applyBorder="1"/>
    <xf numFmtId="0" fontId="7" fillId="0" borderId="0" xfId="5" applyFont="1" applyBorder="1" applyAlignment="1">
      <alignment horizontal="right" vertical="center"/>
    </xf>
    <xf numFmtId="3" fontId="7" fillId="0" borderId="0" xfId="5" applyNumberFormat="1" applyFont="1" applyBorder="1" applyAlignment="1">
      <alignment horizontal="right" vertical="center" wrapText="1"/>
    </xf>
    <xf numFmtId="0" fontId="7" fillId="3" borderId="7" xfId="4" applyFont="1" applyFill="1" applyBorder="1" applyAlignment="1">
      <alignment horizontal="right" vertical="center"/>
    </xf>
    <xf numFmtId="3" fontId="7" fillId="3" borderId="7" xfId="4" applyNumberFormat="1" applyFont="1" applyFill="1" applyBorder="1" applyAlignment="1">
      <alignment horizontal="right" vertical="center" wrapText="1"/>
    </xf>
    <xf numFmtId="3" fontId="6" fillId="0" borderId="6" xfId="5" applyNumberFormat="1" applyFont="1" applyBorder="1" applyAlignment="1">
      <alignment horizontal="left" vertical="center" wrapText="1"/>
    </xf>
    <xf numFmtId="0" fontId="6" fillId="2" borderId="5" xfId="5" applyFont="1" applyFill="1" applyBorder="1" applyAlignment="1">
      <alignment horizontal="center" vertical="center"/>
    </xf>
    <xf numFmtId="3" fontId="6" fillId="0" borderId="39" xfId="5" applyNumberFormat="1" applyFont="1" applyBorder="1" applyAlignment="1">
      <alignment horizontal="left" vertical="center" wrapText="1"/>
    </xf>
    <xf numFmtId="0" fontId="6" fillId="2" borderId="54" xfId="5" applyFont="1" applyFill="1" applyBorder="1" applyAlignment="1">
      <alignment horizontal="center" vertical="center"/>
    </xf>
    <xf numFmtId="4" fontId="6" fillId="0" borderId="26" xfId="5" applyNumberFormat="1" applyFont="1" applyBorder="1" applyAlignment="1">
      <alignment vertical="center"/>
    </xf>
    <xf numFmtId="0" fontId="50" fillId="0" borderId="0" xfId="6" applyFont="1" applyAlignment="1">
      <alignment vertical="center"/>
    </xf>
    <xf numFmtId="0" fontId="8" fillId="0" borderId="0" xfId="7" applyAlignment="1">
      <alignment vertical="center"/>
    </xf>
    <xf numFmtId="0" fontId="24" fillId="0" borderId="0" xfId="6"/>
    <xf numFmtId="0" fontId="51" fillId="0" borderId="0" xfId="6" applyFont="1"/>
    <xf numFmtId="0" fontId="2" fillId="0" borderId="0" xfId="8" applyFont="1" applyFill="1" applyAlignment="1">
      <alignment horizontal="right"/>
    </xf>
    <xf numFmtId="0" fontId="45" fillId="6" borderId="171" xfId="9" applyFont="1" applyFill="1" applyBorder="1" applyAlignment="1">
      <alignment horizontal="center" vertical="center" wrapText="1"/>
    </xf>
    <xf numFmtId="0" fontId="45" fillId="3" borderId="170" xfId="9" applyFont="1" applyFill="1" applyBorder="1" applyAlignment="1">
      <alignment horizontal="center" vertical="center" wrapText="1"/>
    </xf>
    <xf numFmtId="0" fontId="45" fillId="6" borderId="170" xfId="9" applyFont="1" applyFill="1" applyBorder="1" applyAlignment="1">
      <alignment horizontal="center" vertical="center" wrapText="1"/>
    </xf>
    <xf numFmtId="0" fontId="45" fillId="6" borderId="172" xfId="10" applyFont="1" applyFill="1" applyBorder="1" applyAlignment="1">
      <alignment horizontal="center" vertical="center" wrapText="1"/>
    </xf>
    <xf numFmtId="0" fontId="21" fillId="7" borderId="147" xfId="9" applyFont="1" applyFill="1" applyBorder="1" applyAlignment="1">
      <alignment vertical="center" wrapText="1"/>
    </xf>
    <xf numFmtId="0" fontId="52" fillId="0" borderId="56" xfId="9" applyFont="1" applyFill="1" applyBorder="1" applyAlignment="1">
      <alignment horizontal="left" vertical="center" wrapText="1" indent="1"/>
    </xf>
    <xf numFmtId="0" fontId="52" fillId="0" borderId="169" xfId="9" applyFont="1" applyFill="1" applyBorder="1" applyAlignment="1">
      <alignment horizontal="right" vertical="center" wrapText="1" indent="1"/>
    </xf>
    <xf numFmtId="3" fontId="52" fillId="0" borderId="169" xfId="9" applyNumberFormat="1" applyFont="1" applyFill="1" applyBorder="1" applyAlignment="1">
      <alignment horizontal="right" vertical="center" wrapText="1" indent="1"/>
    </xf>
    <xf numFmtId="0" fontId="52" fillId="0" borderId="115" xfId="9" applyFont="1" applyFill="1" applyBorder="1" applyAlignment="1">
      <alignment horizontal="right" vertical="center" wrapText="1" indent="1"/>
    </xf>
    <xf numFmtId="3" fontId="52" fillId="8" borderId="169" xfId="9" applyNumberFormat="1" applyFont="1" applyFill="1" applyBorder="1" applyAlignment="1">
      <alignment horizontal="right" vertical="center" wrapText="1" indent="1"/>
    </xf>
    <xf numFmtId="0" fontId="21" fillId="7" borderId="123" xfId="9" applyFont="1" applyFill="1" applyBorder="1" applyAlignment="1">
      <alignment vertical="center" wrapText="1"/>
    </xf>
    <xf numFmtId="0" fontId="52" fillId="0" borderId="169" xfId="9" applyFont="1" applyFill="1" applyBorder="1" applyAlignment="1">
      <alignment horizontal="left" vertical="center" wrapText="1" indent="1"/>
    </xf>
    <xf numFmtId="0" fontId="8" fillId="0" borderId="0" xfId="8" applyFill="1"/>
    <xf numFmtId="3" fontId="45" fillId="9" borderId="170" xfId="8" applyNumberFormat="1" applyFont="1" applyFill="1" applyBorder="1" applyAlignment="1">
      <alignment horizontal="right" vertical="center" indent="1"/>
    </xf>
    <xf numFmtId="0" fontId="26" fillId="10" borderId="170" xfId="9" applyFont="1" applyFill="1" applyBorder="1" applyAlignment="1">
      <alignment horizontal="right" vertical="center" indent="1"/>
    </xf>
    <xf numFmtId="3" fontId="45" fillId="10" borderId="170" xfId="8" applyNumberFormat="1" applyFont="1" applyFill="1" applyBorder="1" applyAlignment="1">
      <alignment horizontal="right" vertical="center" indent="1"/>
    </xf>
    <xf numFmtId="3" fontId="52" fillId="0" borderId="115" xfId="8" applyNumberFormat="1" applyFont="1" applyFill="1" applyBorder="1" applyAlignment="1">
      <alignment horizontal="right" vertical="center" indent="1"/>
    </xf>
    <xf numFmtId="3" fontId="45" fillId="9" borderId="177" xfId="8" applyNumberFormat="1" applyFont="1" applyFill="1" applyBorder="1" applyAlignment="1">
      <alignment horizontal="right" vertical="center" indent="1"/>
    </xf>
    <xf numFmtId="3" fontId="45" fillId="10" borderId="177" xfId="8" applyNumberFormat="1" applyFont="1" applyFill="1" applyBorder="1" applyAlignment="1">
      <alignment horizontal="right" vertical="center" indent="1"/>
    </xf>
    <xf numFmtId="0" fontId="52" fillId="0" borderId="116" xfId="9" applyFont="1" applyFill="1" applyBorder="1" applyAlignment="1">
      <alignment horizontal="right" vertical="center" wrapText="1" indent="1"/>
    </xf>
    <xf numFmtId="3" fontId="52" fillId="0" borderId="116" xfId="8" applyNumberFormat="1" applyFont="1" applyFill="1" applyBorder="1" applyAlignment="1">
      <alignment horizontal="right" vertical="center" indent="1"/>
    </xf>
    <xf numFmtId="0" fontId="52" fillId="0" borderId="178" xfId="9" applyFont="1" applyFill="1" applyBorder="1" applyAlignment="1">
      <alignment horizontal="left" vertical="center" wrapText="1" indent="1"/>
    </xf>
    <xf numFmtId="0" fontId="52" fillId="0" borderId="120" xfId="9" applyFont="1" applyFill="1" applyBorder="1" applyAlignment="1">
      <alignment horizontal="right" vertical="center" wrapText="1" indent="1"/>
    </xf>
    <xf numFmtId="3" fontId="52" fillId="0" borderId="178" xfId="9" applyNumberFormat="1" applyFont="1" applyFill="1" applyBorder="1" applyAlignment="1">
      <alignment horizontal="right" vertical="center" wrapText="1" indent="1"/>
    </xf>
    <xf numFmtId="3" fontId="52" fillId="0" borderId="120" xfId="9" applyNumberFormat="1" applyFont="1" applyFill="1" applyBorder="1" applyAlignment="1">
      <alignment horizontal="right" vertical="center" wrapText="1" indent="1"/>
    </xf>
    <xf numFmtId="0" fontId="52" fillId="0" borderId="179" xfId="9" applyFont="1" applyFill="1" applyBorder="1" applyAlignment="1">
      <alignment horizontal="right" vertical="center" wrapText="1" indent="1"/>
    </xf>
    <xf numFmtId="3" fontId="52" fillId="8" borderId="115" xfId="8" applyNumberFormat="1" applyFont="1" applyFill="1" applyBorder="1" applyAlignment="1">
      <alignment horizontal="right" vertical="center" indent="1"/>
    </xf>
    <xf numFmtId="0" fontId="52" fillId="0" borderId="92" xfId="9" applyFont="1" applyFill="1" applyBorder="1" applyAlignment="1">
      <alignment horizontal="left" vertical="center" wrapText="1" indent="1"/>
    </xf>
    <xf numFmtId="0" fontId="21" fillId="7" borderId="121" xfId="9" applyFont="1" applyFill="1" applyBorder="1" applyAlignment="1">
      <alignment horizontal="center" vertical="center"/>
    </xf>
    <xf numFmtId="3" fontId="52" fillId="0" borderId="121" xfId="9" applyNumberFormat="1" applyFont="1" applyFill="1" applyBorder="1" applyAlignment="1">
      <alignment horizontal="right" vertical="center" wrapText="1" indent="1"/>
    </xf>
    <xf numFmtId="3" fontId="52" fillId="0" borderId="123" xfId="9" applyNumberFormat="1" applyFont="1" applyFill="1" applyBorder="1" applyAlignment="1">
      <alignment horizontal="right" vertical="center" wrapText="1" indent="1"/>
    </xf>
    <xf numFmtId="0" fontId="52" fillId="0" borderId="88" xfId="9" applyFont="1" applyFill="1" applyBorder="1" applyAlignment="1">
      <alignment horizontal="left" vertical="center" wrapText="1" indent="1"/>
    </xf>
    <xf numFmtId="3" fontId="52" fillId="0" borderId="169" xfId="8" applyNumberFormat="1" applyFont="1" applyFill="1" applyBorder="1" applyAlignment="1">
      <alignment horizontal="right" vertical="center" indent="1"/>
    </xf>
    <xf numFmtId="3" fontId="52" fillId="0" borderId="117" xfId="8" applyNumberFormat="1" applyFont="1" applyFill="1" applyBorder="1" applyAlignment="1">
      <alignment horizontal="right" vertical="center" indent="1"/>
    </xf>
    <xf numFmtId="3" fontId="52" fillId="8" borderId="117" xfId="8" applyNumberFormat="1" applyFont="1" applyFill="1" applyBorder="1" applyAlignment="1">
      <alignment horizontal="right" vertical="center" indent="1"/>
    </xf>
    <xf numFmtId="3" fontId="52" fillId="0" borderId="92" xfId="9" applyNumberFormat="1" applyFont="1" applyFill="1" applyBorder="1" applyAlignment="1">
      <alignment horizontal="right" vertical="center" wrapText="1" indent="1"/>
    </xf>
    <xf numFmtId="3" fontId="52" fillId="8" borderId="92" xfId="9" applyNumberFormat="1" applyFont="1" applyFill="1" applyBorder="1" applyAlignment="1">
      <alignment horizontal="right" vertical="center" wrapText="1" indent="1"/>
    </xf>
    <xf numFmtId="3" fontId="52" fillId="8" borderId="178" xfId="9" applyNumberFormat="1" applyFont="1" applyFill="1" applyBorder="1" applyAlignment="1">
      <alignment horizontal="right" vertical="center" wrapText="1" indent="1"/>
    </xf>
    <xf numFmtId="3" fontId="45" fillId="9" borderId="172" xfId="8" applyNumberFormat="1" applyFont="1" applyFill="1" applyBorder="1" applyAlignment="1">
      <alignment horizontal="right" vertical="center" indent="1"/>
    </xf>
    <xf numFmtId="3" fontId="45" fillId="10" borderId="172" xfId="8" applyNumberFormat="1" applyFont="1" applyFill="1" applyBorder="1" applyAlignment="1">
      <alignment horizontal="right" vertical="center" indent="1"/>
    </xf>
    <xf numFmtId="0" fontId="53" fillId="0" borderId="133" xfId="9" applyFont="1" applyFill="1" applyBorder="1" applyAlignment="1">
      <alignment horizontal="center" vertical="center"/>
    </xf>
    <xf numFmtId="0" fontId="52" fillId="0" borderId="179" xfId="9" applyFont="1" applyFill="1" applyBorder="1" applyAlignment="1">
      <alignment horizontal="left" vertical="center" indent="1"/>
    </xf>
    <xf numFmtId="0" fontId="52" fillId="0" borderId="179" xfId="9" applyFont="1" applyFill="1" applyBorder="1" applyAlignment="1">
      <alignment horizontal="left" vertical="center" wrapText="1" indent="1"/>
    </xf>
    <xf numFmtId="0" fontId="33" fillId="0" borderId="0" xfId="8" applyFont="1" applyFill="1"/>
    <xf numFmtId="3" fontId="45" fillId="8" borderId="170" xfId="8" applyNumberFormat="1" applyFont="1" applyFill="1" applyBorder="1" applyAlignment="1">
      <alignment horizontal="right" vertical="center" indent="1"/>
    </xf>
    <xf numFmtId="0" fontId="45" fillId="0" borderId="147" xfId="9" applyFont="1" applyFill="1" applyBorder="1" applyAlignment="1">
      <alignment horizontal="center" vertical="center"/>
    </xf>
    <xf numFmtId="0" fontId="52" fillId="0" borderId="147" xfId="9" applyFont="1" applyFill="1" applyBorder="1" applyAlignment="1">
      <alignment horizontal="center" vertical="center"/>
    </xf>
    <xf numFmtId="0" fontId="52" fillId="0" borderId="115" xfId="9" applyFont="1" applyFill="1" applyBorder="1" applyAlignment="1">
      <alignment horizontal="left" vertical="center" wrapText="1" indent="1"/>
    </xf>
    <xf numFmtId="0" fontId="45" fillId="0" borderId="123" xfId="9" applyFont="1" applyFill="1" applyBorder="1" applyAlignment="1">
      <alignment horizontal="center" vertical="center"/>
    </xf>
    <xf numFmtId="0" fontId="54" fillId="0" borderId="171" xfId="9" applyFont="1" applyFill="1" applyBorder="1" applyAlignment="1">
      <alignment horizontal="left" vertical="center" indent="1"/>
    </xf>
    <xf numFmtId="3" fontId="54" fillId="0" borderId="170" xfId="9" applyNumberFormat="1" applyFont="1" applyFill="1" applyBorder="1" applyAlignment="1">
      <alignment horizontal="right" vertical="center" indent="1"/>
    </xf>
    <xf numFmtId="3" fontId="54" fillId="8" borderId="170" xfId="9" applyNumberFormat="1" applyFont="1" applyFill="1" applyBorder="1" applyAlignment="1">
      <alignment horizontal="right" vertical="center" indent="1"/>
    </xf>
    <xf numFmtId="0" fontId="45" fillId="6" borderId="180" xfId="9" applyFont="1" applyFill="1" applyBorder="1" applyAlignment="1">
      <alignment horizontal="center" vertical="center" wrapText="1"/>
    </xf>
    <xf numFmtId="0" fontId="45" fillId="6" borderId="133" xfId="9" applyFont="1" applyFill="1" applyBorder="1" applyAlignment="1">
      <alignment horizontal="center" vertical="center" wrapText="1"/>
    </xf>
    <xf numFmtId="0" fontId="45" fillId="6" borderId="180" xfId="10" applyFont="1" applyFill="1" applyBorder="1" applyAlignment="1">
      <alignment horizontal="center" vertical="center" wrapText="1"/>
    </xf>
    <xf numFmtId="0" fontId="2" fillId="11" borderId="115" xfId="4" applyFont="1" applyFill="1" applyBorder="1" applyAlignment="1">
      <alignment vertical="center"/>
    </xf>
    <xf numFmtId="0" fontId="8" fillId="0" borderId="115" xfId="4" applyFill="1" applyBorder="1" applyAlignment="1">
      <alignment wrapText="1"/>
    </xf>
    <xf numFmtId="3" fontId="52" fillId="0" borderId="115" xfId="4" applyNumberFormat="1" applyFont="1" applyFill="1" applyBorder="1" applyAlignment="1">
      <alignment wrapText="1"/>
    </xf>
    <xf numFmtId="3" fontId="52" fillId="0" borderId="115" xfId="4" applyNumberFormat="1" applyFont="1" applyFill="1" applyBorder="1" applyAlignment="1"/>
    <xf numFmtId="0" fontId="2" fillId="12" borderId="169" xfId="4" applyFont="1" applyFill="1" applyBorder="1" applyAlignment="1">
      <alignment vertical="center"/>
    </xf>
    <xf numFmtId="0" fontId="8" fillId="0" borderId="169" xfId="4" applyFill="1" applyBorder="1" applyAlignment="1">
      <alignment wrapText="1"/>
    </xf>
    <xf numFmtId="3" fontId="52" fillId="0" borderId="169" xfId="4" applyNumberFormat="1" applyFont="1" applyFill="1" applyBorder="1" applyAlignment="1">
      <alignment wrapText="1"/>
    </xf>
    <xf numFmtId="3" fontId="52" fillId="0" borderId="169" xfId="4" applyNumberFormat="1" applyFont="1" applyFill="1" applyBorder="1" applyAlignment="1"/>
    <xf numFmtId="3" fontId="52" fillId="0" borderId="178" xfId="4" applyNumberFormat="1" applyFont="1" applyFill="1" applyBorder="1" applyAlignment="1">
      <alignment wrapText="1"/>
    </xf>
    <xf numFmtId="0" fontId="2" fillId="13" borderId="178" xfId="4" applyFont="1" applyFill="1" applyBorder="1" applyAlignment="1">
      <alignment vertical="center"/>
    </xf>
    <xf numFmtId="0" fontId="8" fillId="0" borderId="178" xfId="4" applyFill="1" applyBorder="1" applyAlignment="1">
      <alignment wrapText="1"/>
    </xf>
    <xf numFmtId="3" fontId="52" fillId="0" borderId="178" xfId="4" applyNumberFormat="1" applyFont="1" applyFill="1" applyBorder="1" applyAlignment="1"/>
    <xf numFmtId="0" fontId="52" fillId="0" borderId="178" xfId="4" applyFont="1" applyFill="1" applyBorder="1" applyAlignment="1"/>
    <xf numFmtId="0" fontId="2" fillId="14" borderId="178" xfId="4" applyFont="1" applyFill="1" applyBorder="1" applyAlignment="1">
      <alignment vertical="center"/>
    </xf>
    <xf numFmtId="0" fontId="52" fillId="0" borderId="178" xfId="4" applyFont="1" applyFill="1" applyBorder="1" applyAlignment="1">
      <alignment wrapText="1"/>
    </xf>
    <xf numFmtId="0" fontId="2" fillId="4" borderId="178" xfId="4" applyFont="1" applyFill="1" applyBorder="1" applyAlignment="1">
      <alignment vertical="center"/>
    </xf>
    <xf numFmtId="0" fontId="19" fillId="0" borderId="169" xfId="4" applyFont="1" applyFill="1" applyBorder="1" applyAlignment="1">
      <alignment vertical="center"/>
    </xf>
    <xf numFmtId="0" fontId="8" fillId="0" borderId="136" xfId="4" applyFill="1" applyBorder="1" applyAlignment="1">
      <alignment wrapText="1"/>
    </xf>
    <xf numFmtId="0" fontId="52" fillId="0" borderId="133" xfId="4" applyFont="1" applyFill="1" applyBorder="1" applyAlignment="1">
      <alignment wrapText="1"/>
    </xf>
    <xf numFmtId="0" fontId="52" fillId="0" borderId="133" xfId="4" applyFont="1" applyFill="1" applyBorder="1" applyAlignment="1"/>
    <xf numFmtId="3" fontId="56" fillId="0" borderId="133" xfId="4" applyNumberFormat="1" applyFont="1" applyFill="1" applyBorder="1" applyAlignment="1"/>
    <xf numFmtId="0" fontId="56" fillId="0" borderId="133" xfId="4" applyFont="1" applyFill="1" applyBorder="1" applyAlignment="1">
      <alignment wrapText="1"/>
    </xf>
    <xf numFmtId="3" fontId="56" fillId="0" borderId="133" xfId="4" applyNumberFormat="1" applyFont="1" applyFill="1" applyBorder="1" applyAlignment="1">
      <alignment wrapText="1"/>
    </xf>
    <xf numFmtId="0" fontId="24" fillId="0" borderId="0" xfId="6" applyFill="1"/>
    <xf numFmtId="3" fontId="54" fillId="0" borderId="170" xfId="9" applyNumberFormat="1" applyFont="1" applyFill="1" applyBorder="1" applyAlignment="1">
      <alignment vertical="center"/>
    </xf>
    <xf numFmtId="4" fontId="24" fillId="0" borderId="0" xfId="6" applyNumberFormat="1"/>
    <xf numFmtId="0" fontId="24" fillId="0" borderId="0" xfId="6" applyFont="1" applyAlignment="1">
      <alignment horizontal="right"/>
    </xf>
    <xf numFmtId="3" fontId="24" fillId="0" borderId="0" xfId="6" applyNumberFormat="1"/>
    <xf numFmtId="0" fontId="57" fillId="0" borderId="0" xfId="6" applyFont="1" applyAlignment="1">
      <alignment horizontal="right" vertical="center"/>
    </xf>
    <xf numFmtId="3" fontId="57" fillId="0" borderId="0" xfId="6" applyNumberFormat="1" applyFont="1" applyAlignment="1">
      <alignment vertical="center"/>
    </xf>
    <xf numFmtId="3" fontId="57" fillId="0" borderId="136" xfId="6" applyNumberFormat="1" applyFont="1" applyBorder="1" applyAlignment="1">
      <alignment vertical="center"/>
    </xf>
    <xf numFmtId="3" fontId="58" fillId="0" borderId="0" xfId="6" applyNumberFormat="1" applyFont="1" applyAlignment="1">
      <alignment vertical="center"/>
    </xf>
    <xf numFmtId="0" fontId="6" fillId="0" borderId="182" xfId="0" applyFont="1" applyFill="1" applyBorder="1" applyAlignment="1">
      <alignment horizontal="center"/>
    </xf>
    <xf numFmtId="0" fontId="6" fillId="0" borderId="40" xfId="0" applyFont="1" applyFill="1" applyBorder="1" applyAlignment="1">
      <alignment wrapText="1"/>
    </xf>
    <xf numFmtId="3" fontId="6" fillId="0" borderId="40" xfId="0" applyNumberFormat="1" applyFont="1" applyFill="1" applyBorder="1"/>
    <xf numFmtId="165" fontId="6" fillId="0" borderId="183" xfId="0" applyNumberFormat="1" applyFont="1" applyFill="1" applyBorder="1"/>
    <xf numFmtId="0" fontId="4" fillId="2" borderId="0" xfId="4" applyFont="1" applyFill="1"/>
    <xf numFmtId="4" fontId="6" fillId="2" borderId="0" xfId="4" applyNumberFormat="1" applyFont="1" applyFill="1" applyBorder="1" applyAlignment="1"/>
    <xf numFmtId="4" fontId="6" fillId="2" borderId="56" xfId="4" applyNumberFormat="1" applyFont="1" applyFill="1" applyBorder="1" applyAlignment="1"/>
    <xf numFmtId="0" fontId="7" fillId="3" borderId="46" xfId="4" applyFont="1" applyFill="1" applyBorder="1"/>
    <xf numFmtId="3" fontId="7" fillId="3" borderId="46" xfId="4" applyNumberFormat="1" applyFont="1" applyFill="1" applyBorder="1"/>
    <xf numFmtId="4" fontId="7" fillId="3" borderId="184" xfId="4" applyNumberFormat="1" applyFont="1" applyFill="1" applyBorder="1" applyAlignment="1"/>
    <xf numFmtId="0" fontId="14" fillId="0" borderId="9" xfId="0" applyFont="1" applyFill="1" applyBorder="1"/>
    <xf numFmtId="3" fontId="14" fillId="2" borderId="10" xfId="0" applyNumberFormat="1" applyFont="1" applyFill="1" applyBorder="1"/>
    <xf numFmtId="164" fontId="14" fillId="0" borderId="34" xfId="0" applyNumberFormat="1" applyFont="1" applyFill="1" applyBorder="1"/>
    <xf numFmtId="0" fontId="29" fillId="0" borderId="0" xfId="0" applyFont="1"/>
    <xf numFmtId="0" fontId="4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3" fontId="8" fillId="2" borderId="0" xfId="0" applyNumberFormat="1" applyFont="1" applyFill="1"/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51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6" fillId="2" borderId="52" xfId="0" applyFont="1" applyFill="1" applyBorder="1" applyAlignment="1">
      <alignment wrapText="1"/>
    </xf>
    <xf numFmtId="3" fontId="6" fillId="2" borderId="52" xfId="0" applyNumberFormat="1" applyFont="1" applyFill="1" applyBorder="1"/>
    <xf numFmtId="4" fontId="6" fillId="2" borderId="53" xfId="0" applyNumberFormat="1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3" fontId="6" fillId="2" borderId="6" xfId="0" applyNumberFormat="1" applyFont="1" applyFill="1" applyBorder="1"/>
    <xf numFmtId="4" fontId="6" fillId="2" borderId="55" xfId="0" applyNumberFormat="1" applyFont="1" applyFill="1" applyBorder="1"/>
    <xf numFmtId="0" fontId="3" fillId="0" borderId="0" xfId="0" applyFont="1"/>
    <xf numFmtId="3" fontId="7" fillId="3" borderId="3" xfId="0" applyNumberFormat="1" applyFont="1" applyFill="1" applyBorder="1"/>
    <xf numFmtId="4" fontId="7" fillId="3" borderId="4" xfId="0" applyNumberFormat="1" applyFont="1" applyFill="1" applyBorder="1"/>
    <xf numFmtId="0" fontId="12" fillId="2" borderId="0" xfId="0" applyFont="1" applyFill="1" applyAlignment="1">
      <alignment horizontal="left"/>
    </xf>
    <xf numFmtId="173" fontId="6" fillId="2" borderId="0" xfId="0" applyNumberFormat="1" applyFont="1" applyFill="1"/>
    <xf numFmtId="0" fontId="29" fillId="2" borderId="0" xfId="0" applyFont="1" applyFill="1"/>
    <xf numFmtId="1" fontId="6" fillId="2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2" borderId="54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39" xfId="0" applyFont="1" applyFill="1" applyBorder="1" applyAlignment="1">
      <alignment wrapText="1"/>
    </xf>
    <xf numFmtId="3" fontId="6" fillId="2" borderId="39" xfId="0" applyNumberFormat="1" applyFont="1" applyFill="1" applyBorder="1"/>
    <xf numFmtId="4" fontId="6" fillId="2" borderId="26" xfId="0" applyNumberFormat="1" applyFont="1" applyFill="1" applyBorder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3" fontId="6" fillId="2" borderId="0" xfId="0" applyNumberFormat="1" applyFont="1" applyFill="1" applyBorder="1"/>
    <xf numFmtId="173" fontId="6" fillId="2" borderId="0" xfId="0" applyNumberFormat="1" applyFont="1" applyFill="1" applyBorder="1" applyAlignment="1"/>
    <xf numFmtId="173" fontId="15" fillId="2" borderId="0" xfId="0" applyNumberFormat="1" applyFont="1" applyFill="1" applyBorder="1" applyAlignment="1"/>
    <xf numFmtId="164" fontId="6" fillId="0" borderId="10" xfId="0" applyNumberFormat="1" applyFont="1" applyFill="1" applyBorder="1" applyAlignment="1"/>
    <xf numFmtId="164" fontId="11" fillId="4" borderId="10" xfId="0" applyNumberFormat="1" applyFont="1" applyFill="1" applyBorder="1"/>
    <xf numFmtId="164" fontId="6" fillId="2" borderId="17" xfId="0" applyNumberFormat="1" applyFont="1" applyFill="1" applyBorder="1" applyAlignment="1"/>
    <xf numFmtId="164" fontId="6" fillId="2" borderId="17" xfId="0" applyNumberFormat="1" applyFont="1" applyFill="1" applyBorder="1" applyAlignment="1">
      <alignment vertical="center"/>
    </xf>
    <xf numFmtId="164" fontId="2" fillId="0" borderId="23" xfId="0" applyNumberFormat="1" applyFont="1" applyFill="1" applyBorder="1" applyAlignment="1"/>
    <xf numFmtId="164" fontId="6" fillId="0" borderId="23" xfId="0" applyNumberFormat="1" applyFont="1" applyFill="1" applyBorder="1" applyAlignment="1"/>
    <xf numFmtId="164" fontId="6" fillId="0" borderId="23" xfId="0" applyNumberFormat="1" applyFont="1" applyFill="1" applyBorder="1"/>
    <xf numFmtId="164" fontId="2" fillId="3" borderId="6" xfId="0" applyNumberFormat="1" applyFont="1" applyFill="1" applyBorder="1" applyAlignment="1"/>
    <xf numFmtId="164" fontId="0" fillId="0" borderId="0" xfId="0" applyNumberFormat="1" applyFill="1"/>
    <xf numFmtId="164" fontId="15" fillId="0" borderId="0" xfId="0" applyNumberFormat="1" applyFont="1" applyFill="1"/>
    <xf numFmtId="164" fontId="16" fillId="0" borderId="0" xfId="0" applyNumberFormat="1" applyFont="1" applyFill="1"/>
    <xf numFmtId="164" fontId="9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6" fillId="2" borderId="30" xfId="0" applyNumberFormat="1" applyFont="1" applyFill="1" applyBorder="1"/>
    <xf numFmtId="164" fontId="6" fillId="2" borderId="10" xfId="0" applyNumberFormat="1" applyFont="1" applyFill="1" applyBorder="1" applyAlignment="1">
      <alignment horizontal="right"/>
    </xf>
    <xf numFmtId="164" fontId="14" fillId="2" borderId="10" xfId="0" applyNumberFormat="1" applyFont="1" applyFill="1" applyBorder="1" applyAlignment="1">
      <alignment horizontal="left"/>
    </xf>
    <xf numFmtId="164" fontId="6" fillId="2" borderId="10" xfId="0" applyNumberFormat="1" applyFont="1" applyFill="1" applyBorder="1"/>
    <xf numFmtId="164" fontId="14" fillId="2" borderId="17" xfId="0" applyNumberFormat="1" applyFont="1" applyFill="1" applyBorder="1" applyAlignment="1">
      <alignment horizontal="right"/>
    </xf>
    <xf numFmtId="164" fontId="14" fillId="2" borderId="17" xfId="0" applyNumberFormat="1" applyFont="1" applyFill="1" applyBorder="1" applyAlignment="1">
      <alignment horizontal="left"/>
    </xf>
    <xf numFmtId="164" fontId="14" fillId="0" borderId="39" xfId="0" applyNumberFormat="1" applyFont="1" applyFill="1" applyBorder="1" applyAlignment="1">
      <alignment horizontal="left"/>
    </xf>
    <xf numFmtId="164" fontId="14" fillId="2" borderId="39" xfId="0" applyNumberFormat="1" applyFont="1" applyFill="1" applyBorder="1" applyAlignment="1">
      <alignment horizontal="left"/>
    </xf>
    <xf numFmtId="164" fontId="14" fillId="2" borderId="10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 vertical="center"/>
    </xf>
    <xf numFmtId="164" fontId="6" fillId="2" borderId="10" xfId="0" applyNumberFormat="1" applyFont="1" applyFill="1" applyBorder="1" applyAlignment="1">
      <alignment horizontal="right" vertical="center"/>
    </xf>
    <xf numFmtId="164" fontId="14" fillId="2" borderId="17" xfId="0" applyNumberFormat="1" applyFont="1" applyFill="1" applyBorder="1" applyAlignment="1">
      <alignment horizontal="left" vertical="center"/>
    </xf>
    <xf numFmtId="164" fontId="14" fillId="2" borderId="40" xfId="0" applyNumberFormat="1" applyFont="1" applyFill="1" applyBorder="1" applyAlignment="1">
      <alignment horizontal="left" vertical="center"/>
    </xf>
    <xf numFmtId="164" fontId="2" fillId="2" borderId="23" xfId="0" applyNumberFormat="1" applyFont="1" applyFill="1" applyBorder="1"/>
    <xf numFmtId="164" fontId="6" fillId="2" borderId="25" xfId="0" applyNumberFormat="1" applyFont="1" applyFill="1" applyBorder="1"/>
    <xf numFmtId="164" fontId="6" fillId="0" borderId="39" xfId="0" applyNumberFormat="1" applyFont="1" applyFill="1" applyBorder="1" applyAlignment="1">
      <alignment horizontal="right"/>
    </xf>
    <xf numFmtId="164" fontId="2" fillId="3" borderId="32" xfId="0" applyNumberFormat="1" applyFont="1" applyFill="1" applyBorder="1"/>
    <xf numFmtId="164" fontId="4" fillId="3" borderId="2" xfId="0" applyNumberFormat="1" applyFont="1" applyFill="1" applyBorder="1" applyAlignment="1">
      <alignment horizontal="center" vertical="center"/>
    </xf>
    <xf numFmtId="164" fontId="6" fillId="0" borderId="30" xfId="0" applyNumberFormat="1" applyFont="1" applyFill="1" applyBorder="1"/>
    <xf numFmtId="164" fontId="6" fillId="2" borderId="12" xfId="0" applyNumberFormat="1" applyFont="1" applyFill="1" applyBorder="1"/>
    <xf numFmtId="164" fontId="6" fillId="0" borderId="17" xfId="0" applyNumberFormat="1" applyFont="1" applyFill="1" applyBorder="1"/>
    <xf numFmtId="164" fontId="6" fillId="2" borderId="15" xfId="0" applyNumberFormat="1" applyFont="1" applyFill="1" applyBorder="1"/>
    <xf numFmtId="164" fontId="6" fillId="0" borderId="40" xfId="0" applyNumberFormat="1" applyFont="1" applyFill="1" applyBorder="1"/>
    <xf numFmtId="164" fontId="6" fillId="2" borderId="45" xfId="0" applyNumberFormat="1" applyFont="1" applyFill="1" applyBorder="1"/>
    <xf numFmtId="164" fontId="6" fillId="0" borderId="39" xfId="0" applyNumberFormat="1" applyFont="1" applyFill="1" applyBorder="1"/>
    <xf numFmtId="164" fontId="18" fillId="3" borderId="46" xfId="0" applyNumberFormat="1" applyFont="1" applyFill="1" applyBorder="1"/>
    <xf numFmtId="164" fontId="19" fillId="3" borderId="46" xfId="0" applyNumberFormat="1" applyFont="1" applyFill="1" applyBorder="1"/>
    <xf numFmtId="164" fontId="19" fillId="0" borderId="0" xfId="0" applyNumberFormat="1" applyFont="1" applyFill="1" applyBorder="1"/>
    <xf numFmtId="164" fontId="16" fillId="0" borderId="0" xfId="0" applyNumberFormat="1" applyFont="1" applyFill="1" applyBorder="1"/>
    <xf numFmtId="0" fontId="14" fillId="0" borderId="9" xfId="0" applyFont="1" applyFill="1" applyBorder="1" applyAlignment="1">
      <alignment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3" borderId="36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 vertical="center" wrapText="1"/>
    </xf>
    <xf numFmtId="164" fontId="4" fillId="3" borderId="3" xfId="0" applyNumberFormat="1" applyFont="1" applyFill="1" applyBorder="1" applyAlignment="1">
      <alignment horizontal="center" wrapText="1"/>
    </xf>
    <xf numFmtId="0" fontId="23" fillId="0" borderId="17" xfId="0" applyFont="1" applyFill="1" applyBorder="1" applyAlignment="1">
      <alignment horizontal="left" indent="2"/>
    </xf>
    <xf numFmtId="0" fontId="6" fillId="2" borderId="7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2" fillId="2" borderId="0" xfId="0" applyFont="1" applyFill="1" applyAlignment="1">
      <alignment horizontal="left" vertical="center" wrapText="1"/>
    </xf>
    <xf numFmtId="0" fontId="8" fillId="2" borderId="0" xfId="0" applyFont="1" applyFill="1" applyAlignment="1"/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3" fontId="6" fillId="2" borderId="40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0" fontId="42" fillId="4" borderId="58" xfId="0" applyFont="1" applyFill="1" applyBorder="1" applyAlignment="1">
      <alignment horizontal="justify" wrapText="1"/>
    </xf>
    <xf numFmtId="0" fontId="42" fillId="4" borderId="0" xfId="0" applyFont="1" applyFill="1" applyBorder="1" applyAlignment="1">
      <alignment horizontal="justify" wrapText="1"/>
    </xf>
    <xf numFmtId="1" fontId="37" fillId="0" borderId="58" xfId="1" applyNumberFormat="1" applyFont="1" applyFill="1" applyBorder="1" applyAlignment="1">
      <alignment horizontal="left" wrapText="1"/>
    </xf>
    <xf numFmtId="0" fontId="38" fillId="0" borderId="0" xfId="1" applyFont="1" applyFill="1" applyAlignment="1">
      <alignment horizontal="left" vertical="center" wrapText="1"/>
    </xf>
    <xf numFmtId="0" fontId="26" fillId="0" borderId="0" xfId="1" applyFont="1" applyFill="1" applyAlignment="1">
      <alignment horizontal="left"/>
    </xf>
    <xf numFmtId="0" fontId="27" fillId="0" borderId="0" xfId="1" applyFont="1" applyFill="1" applyAlignment="1">
      <alignment horizontal="left"/>
    </xf>
    <xf numFmtId="0" fontId="2" fillId="3" borderId="1" xfId="1" applyFont="1" applyFill="1" applyBorder="1" applyAlignment="1"/>
    <xf numFmtId="0" fontId="2" fillId="3" borderId="3" xfId="1" applyFont="1" applyFill="1" applyBorder="1" applyAlignment="1"/>
    <xf numFmtId="0" fontId="34" fillId="0" borderId="7" xfId="1" applyFont="1" applyFill="1" applyBorder="1" applyAlignment="1">
      <alignment horizontal="left" wrapText="1"/>
    </xf>
    <xf numFmtId="0" fontId="1" fillId="3" borderId="46" xfId="1" applyFont="1" applyFill="1" applyBorder="1" applyAlignment="1">
      <alignment shrinkToFit="1"/>
    </xf>
    <xf numFmtId="0" fontId="7" fillId="2" borderId="65" xfId="4" applyFont="1" applyFill="1" applyBorder="1" applyAlignment="1">
      <alignment horizontal="left"/>
    </xf>
    <xf numFmtId="0" fontId="7" fillId="2" borderId="22" xfId="4" applyFont="1" applyFill="1" applyBorder="1" applyAlignment="1">
      <alignment horizontal="left"/>
    </xf>
    <xf numFmtId="0" fontId="8" fillId="3" borderId="59" xfId="4" applyFill="1" applyBorder="1" applyAlignment="1">
      <alignment horizontal="center" vertical="center"/>
    </xf>
    <xf numFmtId="0" fontId="8" fillId="3" borderId="2" xfId="4" applyFill="1" applyBorder="1" applyAlignment="1">
      <alignment horizontal="center" vertical="center"/>
    </xf>
    <xf numFmtId="0" fontId="8" fillId="3" borderId="60" xfId="4" applyFill="1" applyBorder="1" applyAlignment="1">
      <alignment horizontal="center"/>
    </xf>
    <xf numFmtId="0" fontId="8" fillId="3" borderId="36" xfId="4" applyFill="1" applyBorder="1" applyAlignment="1">
      <alignment horizontal="center"/>
    </xf>
    <xf numFmtId="0" fontId="7" fillId="2" borderId="61" xfId="4" applyFont="1" applyFill="1" applyBorder="1" applyAlignment="1"/>
    <xf numFmtId="0" fontId="15" fillId="0" borderId="62" xfId="0" applyFont="1" applyBorder="1" applyAlignment="1"/>
    <xf numFmtId="0" fontId="7" fillId="2" borderId="65" xfId="4" applyFont="1" applyFill="1" applyBorder="1" applyAlignment="1"/>
    <xf numFmtId="0" fontId="15" fillId="0" borderId="22" xfId="0" applyFont="1" applyBorder="1" applyAlignment="1"/>
    <xf numFmtId="0" fontId="7" fillId="2" borderId="65" xfId="4" applyFont="1" applyFill="1" applyBorder="1" applyAlignment="1">
      <alignment horizontal="left" wrapText="1"/>
    </xf>
    <xf numFmtId="0" fontId="7" fillId="2" borderId="22" xfId="4" applyFont="1" applyFill="1" applyBorder="1" applyAlignment="1">
      <alignment horizontal="left" wrapText="1"/>
    </xf>
    <xf numFmtId="0" fontId="7" fillId="2" borderId="65" xfId="4" applyFont="1" applyFill="1" applyBorder="1" applyAlignment="1">
      <alignment wrapText="1"/>
    </xf>
    <xf numFmtId="0" fontId="15" fillId="2" borderId="22" xfId="0" applyFont="1" applyFill="1" applyBorder="1" applyAlignment="1">
      <alignment wrapText="1"/>
    </xf>
    <xf numFmtId="0" fontId="7" fillId="3" borderId="1" xfId="4" applyFont="1" applyFill="1" applyBorder="1" applyAlignment="1">
      <alignment horizontal="left"/>
    </xf>
    <xf numFmtId="0" fontId="7" fillId="3" borderId="3" xfId="4" applyFont="1" applyFill="1" applyBorder="1" applyAlignment="1">
      <alignment horizontal="left"/>
    </xf>
    <xf numFmtId="0" fontId="41" fillId="0" borderId="58" xfId="0" applyFont="1" applyBorder="1" applyAlignment="1">
      <alignment horizontal="left"/>
    </xf>
    <xf numFmtId="0" fontId="41" fillId="0" borderId="0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8" fillId="2" borderId="22" xfId="4" applyFont="1" applyFill="1" applyBorder="1" applyAlignment="1">
      <alignment horizontal="left"/>
    </xf>
    <xf numFmtId="0" fontId="7" fillId="2" borderId="66" xfId="4" applyFont="1" applyFill="1" applyBorder="1" applyAlignment="1">
      <alignment horizontal="left"/>
    </xf>
    <xf numFmtId="0" fontId="7" fillId="2" borderId="67" xfId="4" applyFont="1" applyFill="1" applyBorder="1" applyAlignment="1">
      <alignment horizontal="left"/>
    </xf>
    <xf numFmtId="0" fontId="5" fillId="3" borderId="68" xfId="4" applyFont="1" applyFill="1" applyBorder="1" applyAlignment="1">
      <alignment horizontal="center"/>
    </xf>
    <xf numFmtId="0" fontId="5" fillId="3" borderId="69" xfId="4" applyFont="1" applyFill="1" applyBorder="1" applyAlignment="1">
      <alignment horizontal="center"/>
    </xf>
    <xf numFmtId="0" fontId="7" fillId="3" borderId="116" xfId="4" applyFont="1" applyFill="1" applyBorder="1" applyAlignment="1">
      <alignment horizontal="center"/>
    </xf>
    <xf numFmtId="0" fontId="7" fillId="3" borderId="88" xfId="4" applyFont="1" applyFill="1" applyBorder="1" applyAlignment="1">
      <alignment horizontal="center"/>
    </xf>
    <xf numFmtId="0" fontId="0" fillId="0" borderId="117" xfId="0" applyBorder="1" applyAlignment="1">
      <alignment horizontal="center"/>
    </xf>
    <xf numFmtId="0" fontId="7" fillId="3" borderId="117" xfId="4" applyFont="1" applyFill="1" applyBorder="1" applyAlignment="1">
      <alignment horizontal="center"/>
    </xf>
    <xf numFmtId="49" fontId="4" fillId="3" borderId="118" xfId="4" applyNumberFormat="1" applyFont="1" applyFill="1" applyBorder="1" applyAlignment="1">
      <alignment horizontal="left" vertical="center"/>
    </xf>
    <xf numFmtId="49" fontId="4" fillId="3" borderId="125" xfId="4" applyNumberFormat="1" applyFont="1" applyFill="1" applyBorder="1" applyAlignment="1">
      <alignment horizontal="left" vertical="center"/>
    </xf>
    <xf numFmtId="49" fontId="4" fillId="3" borderId="165" xfId="4" applyNumberFormat="1" applyFont="1" applyFill="1" applyBorder="1" applyAlignment="1">
      <alignment horizontal="center" vertical="center"/>
    </xf>
    <xf numFmtId="0" fontId="15" fillId="0" borderId="166" xfId="0" applyFont="1" applyBorder="1" applyAlignment="1">
      <alignment horizontal="center" vertical="center"/>
    </xf>
    <xf numFmtId="3" fontId="4" fillId="3" borderId="120" xfId="4" applyNumberFormat="1" applyFont="1" applyFill="1" applyBorder="1" applyAlignment="1">
      <alignment horizontal="center" vertical="center" wrapText="1"/>
    </xf>
    <xf numFmtId="3" fontId="4" fillId="3" borderId="127" xfId="4" applyNumberFormat="1" applyFont="1" applyFill="1" applyBorder="1" applyAlignment="1">
      <alignment horizontal="center" vertical="center" wrapText="1"/>
    </xf>
    <xf numFmtId="3" fontId="4" fillId="3" borderId="121" xfId="4" applyNumberFormat="1" applyFont="1" applyFill="1" applyBorder="1" applyAlignment="1">
      <alignment horizontal="center" vertical="center" wrapText="1"/>
    </xf>
    <xf numFmtId="3" fontId="4" fillId="3" borderId="128" xfId="4" applyNumberFormat="1" applyFont="1" applyFill="1" applyBorder="1" applyAlignment="1">
      <alignment horizontal="center" vertical="center" wrapText="1"/>
    </xf>
    <xf numFmtId="3" fontId="4" fillId="3" borderId="75" xfId="4" applyNumberFormat="1" applyFont="1" applyFill="1" applyBorder="1" applyAlignment="1">
      <alignment horizontal="center" vertical="center" wrapText="1"/>
    </xf>
    <xf numFmtId="3" fontId="4" fillId="3" borderId="6" xfId="4" applyNumberFormat="1" applyFont="1" applyFill="1" applyBorder="1" applyAlignment="1">
      <alignment horizontal="center" vertical="center" wrapText="1"/>
    </xf>
    <xf numFmtId="3" fontId="4" fillId="3" borderId="122" xfId="4" applyNumberFormat="1" applyFont="1" applyFill="1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3" fontId="4" fillId="3" borderId="123" xfId="4" applyNumberFormat="1" applyFont="1" applyFill="1" applyBorder="1" applyAlignment="1">
      <alignment horizontal="center" vertical="center" wrapText="1"/>
    </xf>
    <xf numFmtId="3" fontId="5" fillId="3" borderId="96" xfId="4" applyNumberFormat="1" applyFont="1" applyFill="1" applyBorder="1" applyAlignment="1">
      <alignment horizontal="center" vertical="center" wrapText="1"/>
    </xf>
    <xf numFmtId="3" fontId="5" fillId="3" borderId="36" xfId="4" applyNumberFormat="1" applyFont="1" applyFill="1" applyBorder="1" applyAlignment="1">
      <alignment horizontal="center" vertical="center" wrapText="1"/>
    </xf>
    <xf numFmtId="3" fontId="5" fillId="3" borderId="122" xfId="4" applyNumberFormat="1" applyFont="1" applyFill="1" applyBorder="1" applyAlignment="1">
      <alignment horizontal="center" vertical="center" wrapText="1"/>
    </xf>
    <xf numFmtId="3" fontId="5" fillId="3" borderId="129" xfId="4" applyNumberFormat="1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right" shrinkToFit="1"/>
    </xf>
    <xf numFmtId="49" fontId="4" fillId="3" borderId="119" xfId="4" applyNumberFormat="1" applyFont="1" applyFill="1" applyBorder="1" applyAlignment="1">
      <alignment horizontal="center" vertical="center"/>
    </xf>
    <xf numFmtId="0" fontId="15" fillId="0" borderId="126" xfId="0" applyFont="1" applyBorder="1" applyAlignment="1">
      <alignment horizontal="center" vertical="center"/>
    </xf>
    <xf numFmtId="3" fontId="5" fillId="3" borderId="124" xfId="4" applyNumberFormat="1" applyFont="1" applyFill="1" applyBorder="1" applyAlignment="1">
      <alignment horizontal="center" vertical="center" wrapText="1"/>
    </xf>
    <xf numFmtId="3" fontId="5" fillId="3" borderId="130" xfId="4" applyNumberFormat="1" applyFont="1" applyFill="1" applyBorder="1" applyAlignment="1">
      <alignment horizontal="center" vertical="center" wrapText="1"/>
    </xf>
    <xf numFmtId="173" fontId="7" fillId="0" borderId="0" xfId="5" applyNumberFormat="1" applyFont="1" applyBorder="1" applyAlignment="1"/>
    <xf numFmtId="173" fontId="20" fillId="0" borderId="0" xfId="5" applyNumberFormat="1" applyFont="1" applyBorder="1" applyAlignment="1"/>
    <xf numFmtId="0" fontId="46" fillId="0" borderId="0" xfId="5" applyFont="1" applyAlignment="1">
      <alignment horizontal="left" vertical="top" wrapText="1"/>
    </xf>
    <xf numFmtId="0" fontId="8" fillId="0" borderId="0" xfId="5" applyFont="1" applyAlignment="1">
      <alignment horizontal="left" vertical="top" wrapText="1"/>
    </xf>
    <xf numFmtId="3" fontId="6" fillId="0" borderId="0" xfId="5" applyNumberFormat="1" applyFont="1" applyBorder="1" applyAlignment="1">
      <alignment horizontal="left" vertical="top" wrapText="1"/>
    </xf>
    <xf numFmtId="0" fontId="6" fillId="0" borderId="0" xfId="5" applyFont="1" applyBorder="1" applyAlignment="1">
      <alignment horizontal="left" vertical="top" wrapText="1"/>
    </xf>
    <xf numFmtId="3" fontId="6" fillId="0" borderId="0" xfId="5" applyNumberFormat="1" applyFont="1" applyBorder="1" applyAlignment="1">
      <alignment horizontal="justify" vertical="top" wrapText="1"/>
    </xf>
    <xf numFmtId="0" fontId="6" fillId="0" borderId="0" xfId="5" applyFont="1" applyBorder="1" applyAlignment="1">
      <alignment horizontal="justify" vertical="top" wrapText="1"/>
    </xf>
    <xf numFmtId="173" fontId="7" fillId="3" borderId="7" xfId="5" applyNumberFormat="1" applyFont="1" applyFill="1" applyBorder="1" applyAlignment="1">
      <alignment horizontal="right"/>
    </xf>
    <xf numFmtId="3" fontId="6" fillId="0" borderId="0" xfId="5" applyNumberFormat="1" applyFont="1" applyFill="1" applyBorder="1" applyAlignment="1">
      <alignment horizontal="left" vertical="top" wrapText="1"/>
    </xf>
    <xf numFmtId="0" fontId="6" fillId="0" borderId="0" xfId="5" applyFont="1" applyFill="1" applyBorder="1" applyAlignment="1">
      <alignment horizontal="left" vertical="top" wrapText="1"/>
    </xf>
    <xf numFmtId="0" fontId="46" fillId="0" borderId="0" xfId="5" applyFont="1" applyAlignment="1">
      <alignment horizontal="left" vertical="center" wrapText="1"/>
    </xf>
    <xf numFmtId="173" fontId="30" fillId="2" borderId="0" xfId="5" applyNumberFormat="1" applyFont="1" applyFill="1" applyBorder="1" applyAlignment="1"/>
    <xf numFmtId="173" fontId="49" fillId="2" borderId="0" xfId="5" applyNumberFormat="1" applyFont="1" applyFill="1" applyBorder="1" applyAlignment="1"/>
    <xf numFmtId="173" fontId="47" fillId="2" borderId="0" xfId="5" applyNumberFormat="1" applyFont="1" applyFill="1" applyBorder="1" applyAlignment="1"/>
    <xf numFmtId="173" fontId="37" fillId="2" borderId="0" xfId="5" applyNumberFormat="1" applyFont="1" applyFill="1" applyBorder="1" applyAlignment="1"/>
    <xf numFmtId="0" fontId="30" fillId="2" borderId="0" xfId="5" applyFont="1" applyFill="1" applyAlignment="1">
      <alignment horizontal="left" wrapText="1"/>
    </xf>
    <xf numFmtId="0" fontId="6" fillId="2" borderId="0" xfId="5" applyFont="1" applyFill="1" applyBorder="1" applyAlignment="1">
      <alignment horizontal="left" wrapText="1"/>
    </xf>
    <xf numFmtId="173" fontId="48" fillId="2" borderId="0" xfId="5" applyNumberFormat="1" applyFont="1" applyFill="1" applyBorder="1" applyAlignment="1"/>
    <xf numFmtId="173" fontId="44" fillId="2" borderId="0" xfId="5" applyNumberFormat="1" applyFont="1" applyFill="1" applyBorder="1" applyAlignment="1"/>
    <xf numFmtId="173" fontId="48" fillId="3" borderId="7" xfId="5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justify" vertical="top" wrapText="1"/>
    </xf>
    <xf numFmtId="0" fontId="15" fillId="2" borderId="0" xfId="0" applyFont="1" applyFill="1" applyAlignment="1">
      <alignment horizontal="justify" vertical="top" wrapText="1"/>
    </xf>
    <xf numFmtId="0" fontId="15" fillId="2" borderId="0" xfId="0" applyFont="1" applyFill="1" applyAlignment="1">
      <alignment horizontal="justify" wrapText="1"/>
    </xf>
    <xf numFmtId="173" fontId="6" fillId="2" borderId="0" xfId="0" applyNumberFormat="1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7" fillId="3" borderId="59" xfId="0" applyFont="1" applyFill="1" applyBorder="1" applyAlignment="1">
      <alignment horizontal="left"/>
    </xf>
    <xf numFmtId="0" fontId="7" fillId="3" borderId="185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 wrapText="1"/>
    </xf>
    <xf numFmtId="0" fontId="15" fillId="0" borderId="7" xfId="0" applyFont="1" applyBorder="1" applyAlignment="1">
      <alignment wrapText="1"/>
    </xf>
    <xf numFmtId="173" fontId="7" fillId="3" borderId="7" xfId="0" applyNumberFormat="1" applyFont="1" applyFill="1" applyBorder="1" applyAlignment="1">
      <alignment horizontal="right"/>
    </xf>
    <xf numFmtId="173" fontId="7" fillId="2" borderId="0" xfId="0" applyNumberFormat="1" applyFont="1" applyFill="1" applyBorder="1" applyAlignment="1"/>
    <xf numFmtId="173" fontId="20" fillId="2" borderId="0" xfId="0" applyNumberFormat="1" applyFont="1" applyFill="1" applyBorder="1" applyAlignment="1"/>
    <xf numFmtId="173" fontId="6" fillId="2" borderId="0" xfId="0" applyNumberFormat="1" applyFont="1" applyFill="1" applyBorder="1" applyAlignment="1"/>
    <xf numFmtId="0" fontId="15" fillId="0" borderId="0" xfId="0" applyFont="1" applyAlignment="1"/>
    <xf numFmtId="0" fontId="15" fillId="2" borderId="0" xfId="0" applyFont="1" applyFill="1" applyAlignment="1"/>
    <xf numFmtId="173" fontId="15" fillId="2" borderId="0" xfId="0" applyNumberFormat="1" applyFont="1" applyFill="1" applyBorder="1" applyAlignment="1"/>
    <xf numFmtId="0" fontId="45" fillId="6" borderId="177" xfId="9" applyFont="1" applyFill="1" applyBorder="1" applyAlignment="1">
      <alignment horizontal="center" vertical="center" wrapText="1"/>
    </xf>
    <xf numFmtId="0" fontId="45" fillId="6" borderId="171" xfId="9" applyFont="1" applyFill="1" applyBorder="1" applyAlignment="1">
      <alignment horizontal="center" vertical="center" wrapText="1"/>
    </xf>
    <xf numFmtId="0" fontId="45" fillId="6" borderId="172" xfId="9" applyFont="1" applyFill="1" applyBorder="1" applyAlignment="1">
      <alignment horizontal="center" vertical="center" wrapText="1"/>
    </xf>
    <xf numFmtId="0" fontId="33" fillId="0" borderId="102" xfId="4" applyFont="1" applyFill="1" applyBorder="1" applyAlignment="1">
      <alignment horizontal="center" wrapText="1"/>
    </xf>
    <xf numFmtId="0" fontId="33" fillId="0" borderId="121" xfId="4" applyFont="1" applyFill="1" applyBorder="1" applyAlignment="1">
      <alignment horizontal="center" wrapText="1"/>
    </xf>
    <xf numFmtId="0" fontId="33" fillId="0" borderId="181" xfId="4" applyFont="1" applyFill="1" applyBorder="1" applyAlignment="1">
      <alignment horizontal="center" wrapText="1"/>
    </xf>
    <xf numFmtId="0" fontId="54" fillId="0" borderId="177" xfId="9" applyFont="1" applyFill="1" applyBorder="1" applyAlignment="1">
      <alignment horizontal="left" vertical="center" indent="1"/>
    </xf>
    <xf numFmtId="0" fontId="54" fillId="0" borderId="136" xfId="9" applyFont="1" applyFill="1" applyBorder="1" applyAlignment="1">
      <alignment horizontal="left" vertical="center" indent="1"/>
    </xf>
    <xf numFmtId="0" fontId="26" fillId="8" borderId="170" xfId="9" applyFont="1" applyFill="1" applyBorder="1" applyAlignment="1">
      <alignment horizontal="left" vertical="center" indent="1"/>
    </xf>
    <xf numFmtId="0" fontId="53" fillId="0" borderId="147" xfId="9" applyFont="1" applyFill="1" applyBorder="1" applyAlignment="1">
      <alignment horizontal="center" vertical="center"/>
    </xf>
    <xf numFmtId="0" fontId="53" fillId="0" borderId="123" xfId="9" applyFont="1" applyFill="1" applyBorder="1" applyAlignment="1">
      <alignment horizontal="center" vertical="center"/>
    </xf>
    <xf numFmtId="0" fontId="52" fillId="0" borderId="147" xfId="9" applyFont="1" applyFill="1" applyBorder="1" applyAlignment="1">
      <alignment horizontal="center" vertical="center"/>
    </xf>
    <xf numFmtId="0" fontId="52" fillId="0" borderId="123" xfId="9" applyFont="1" applyFill="1" applyBorder="1" applyAlignment="1">
      <alignment horizontal="center" vertical="center"/>
    </xf>
    <xf numFmtId="0" fontId="26" fillId="10" borderId="177" xfId="9" applyFont="1" applyFill="1" applyBorder="1" applyAlignment="1">
      <alignment horizontal="left" vertical="center" indent="1"/>
    </xf>
    <xf numFmtId="0" fontId="26" fillId="10" borderId="171" xfId="9" applyFont="1" applyFill="1" applyBorder="1" applyAlignment="1">
      <alignment horizontal="left" vertical="center" indent="1"/>
    </xf>
    <xf numFmtId="0" fontId="54" fillId="0" borderId="171" xfId="9" applyFont="1" applyFill="1" applyBorder="1" applyAlignment="1">
      <alignment horizontal="left" vertical="center" indent="1"/>
    </xf>
    <xf numFmtId="3" fontId="55" fillId="0" borderId="101" xfId="6" applyNumberFormat="1" applyFont="1" applyBorder="1" applyAlignment="1">
      <alignment horizontal="center"/>
    </xf>
    <xf numFmtId="0" fontId="21" fillId="7" borderId="147" xfId="9" applyFont="1" applyFill="1" applyBorder="1" applyAlignment="1">
      <alignment horizontal="center" vertical="center"/>
    </xf>
    <xf numFmtId="0" fontId="21" fillId="7" borderId="123" xfId="9" applyFont="1" applyFill="1" applyBorder="1" applyAlignment="1">
      <alignment horizontal="center" vertical="center"/>
    </xf>
    <xf numFmtId="0" fontId="21" fillId="7" borderId="133" xfId="9" applyFont="1" applyFill="1" applyBorder="1" applyAlignment="1">
      <alignment horizontal="center" vertical="center"/>
    </xf>
    <xf numFmtId="0" fontId="52" fillId="0" borderId="133" xfId="9" applyFont="1" applyFill="1" applyBorder="1" applyAlignment="1">
      <alignment horizontal="center" vertical="center"/>
    </xf>
    <xf numFmtId="0" fontId="26" fillId="9" borderId="177" xfId="9" applyFont="1" applyFill="1" applyBorder="1" applyAlignment="1">
      <alignment horizontal="left" vertical="center" indent="1"/>
    </xf>
    <xf numFmtId="0" fontId="26" fillId="9" borderId="171" xfId="9" applyFont="1" applyFill="1" applyBorder="1" applyAlignment="1">
      <alignment horizontal="left" vertical="center" indent="1"/>
    </xf>
    <xf numFmtId="0" fontId="26" fillId="8" borderId="177" xfId="9" applyFont="1" applyFill="1" applyBorder="1" applyAlignment="1">
      <alignment horizontal="left" vertical="center" indent="1"/>
    </xf>
    <xf numFmtId="0" fontId="26" fillId="8" borderId="171" xfId="9" applyFont="1" applyFill="1" applyBorder="1" applyAlignment="1">
      <alignment horizontal="left" vertical="center" indent="1"/>
    </xf>
    <xf numFmtId="0" fontId="52" fillId="0" borderId="147" xfId="9" applyFont="1" applyFill="1" applyBorder="1" applyAlignment="1">
      <alignment horizontal="center" vertical="center" wrapText="1"/>
    </xf>
    <xf numFmtId="0" fontId="52" fillId="0" borderId="123" xfId="9" applyFont="1" applyFill="1" applyBorder="1" applyAlignment="1">
      <alignment horizontal="center" vertical="center" wrapText="1"/>
    </xf>
    <xf numFmtId="0" fontId="52" fillId="0" borderId="133" xfId="9" applyFont="1" applyFill="1" applyBorder="1" applyAlignment="1">
      <alignment horizontal="center" vertical="center" wrapText="1"/>
    </xf>
    <xf numFmtId="0" fontId="45" fillId="0" borderId="123" xfId="9" applyFont="1" applyFill="1" applyBorder="1" applyAlignment="1">
      <alignment horizontal="center" vertical="center"/>
    </xf>
    <xf numFmtId="0" fontId="45" fillId="0" borderId="133" xfId="9" applyFont="1" applyFill="1" applyBorder="1" applyAlignment="1">
      <alignment horizontal="center" vertical="center"/>
    </xf>
    <xf numFmtId="0" fontId="26" fillId="9" borderId="102" xfId="9" applyFont="1" applyFill="1" applyBorder="1" applyAlignment="1">
      <alignment horizontal="left" vertical="center" indent="1"/>
    </xf>
    <xf numFmtId="0" fontId="45" fillId="6" borderId="170" xfId="9" applyFont="1" applyFill="1" applyBorder="1" applyAlignment="1">
      <alignment horizontal="center" vertical="center" wrapText="1"/>
    </xf>
    <xf numFmtId="0" fontId="21" fillId="7" borderId="102" xfId="9" applyFont="1" applyFill="1" applyBorder="1" applyAlignment="1">
      <alignment horizontal="center" vertical="center"/>
    </xf>
    <xf numFmtId="0" fontId="21" fillId="7" borderId="121" xfId="9" applyFont="1" applyFill="1" applyBorder="1" applyAlignment="1">
      <alignment horizontal="center" vertical="center"/>
    </xf>
    <xf numFmtId="164" fontId="23" fillId="2" borderId="17" xfId="0" applyNumberFormat="1" applyFont="1" applyFill="1" applyBorder="1" applyAlignment="1">
      <alignment horizontal="left" vertical="center"/>
    </xf>
  </cellXfs>
  <cellStyles count="11">
    <cellStyle name="Čárka 2" xfId="2"/>
    <cellStyle name="Normální" xfId="0" builtinId="0"/>
    <cellStyle name="Normální 2" xfId="1"/>
    <cellStyle name="Normální 2 2" xfId="4"/>
    <cellStyle name="Normální 2 2 2" xfId="6"/>
    <cellStyle name="Normální 3" xfId="3"/>
    <cellStyle name="Normální 4" xfId="5"/>
    <cellStyle name="Normální 6" xfId="7"/>
    <cellStyle name="normální_Investice 2005-školství - úprava (probráno se SEK) 2" xfId="10"/>
    <cellStyle name="normální_Požadavky na investice 2005 a plnění 2004-úprava 2" xfId="9"/>
    <cellStyle name="normální_Sešit1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2)%20P&#345;&#237;jm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.1.%20-%20Rozpo&#269;et%20OK%202021%20-%2003c)%20P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d)%20Fond%20soci&#225;ln&#237;ch%20pot&#345;eb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e)%20Fond%20-%20vod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I.%20verze/x.%20-%20Rozpo&#269;et%20OK%202021%20-%2005)%20Investic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4)%20Financov&#225;n&#23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.1.%20-%20Rozpo&#269;et%20OK%202021%20-%2004)%20Financov&#225;n&#237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ROK%2030.11.2020/2.1.%20-%20Rozpo&#269;et%20OK%202021%20-%2005)%20Investic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1.%20-%20Rozpo&#269;et%20OK%202021%20-%2002)%20P&#345;&#237;jm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a)%20V&#253;daje%20odbor&#36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a)%20V&#253;daje%20odbor&#36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.1.%20-%20Rozpo&#269;et%20OK%202021%20-%2003a)%20V&#253;daje%20odbor&#36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b)%20Dota&#269;n&#237;%20titul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b)%20Dota&#269;n&#237;%20titul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.1.%20-%20Rozpo&#269;et%20OK%202021%20-%2003b)%20Dota&#269;n&#237;%20titul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c)%20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"/>
      <sheetName val="predikce"/>
    </sheetNames>
    <sheetDataSet>
      <sheetData sheetId="0">
        <row r="12">
          <cell r="F12">
            <v>4962504</v>
          </cell>
        </row>
        <row r="13">
          <cell r="F13">
            <v>1185</v>
          </cell>
        </row>
        <row r="14">
          <cell r="F14">
            <v>1420</v>
          </cell>
        </row>
        <row r="15">
          <cell r="F15">
            <v>160</v>
          </cell>
        </row>
        <row r="16">
          <cell r="F16">
            <v>267458</v>
          </cell>
        </row>
        <row r="17">
          <cell r="F17">
            <v>25</v>
          </cell>
        </row>
        <row r="18">
          <cell r="F18">
            <v>223</v>
          </cell>
        </row>
        <row r="19">
          <cell r="F19">
            <v>32868.1</v>
          </cell>
        </row>
        <row r="20">
          <cell r="F20">
            <v>142.19999999999999</v>
          </cell>
        </row>
        <row r="21">
          <cell r="F21">
            <v>800</v>
          </cell>
        </row>
        <row r="22">
          <cell r="F22">
            <v>2120</v>
          </cell>
        </row>
        <row r="23">
          <cell r="F23">
            <v>1598</v>
          </cell>
        </row>
        <row r="24">
          <cell r="F24">
            <v>5</v>
          </cell>
        </row>
        <row r="25">
          <cell r="F25">
            <v>225</v>
          </cell>
        </row>
        <row r="26">
          <cell r="F26">
            <v>164292</v>
          </cell>
        </row>
        <row r="27">
          <cell r="F27">
            <v>680</v>
          </cell>
        </row>
        <row r="28">
          <cell r="F28">
            <v>1</v>
          </cell>
        </row>
        <row r="29">
          <cell r="F29">
            <v>80</v>
          </cell>
        </row>
        <row r="30">
          <cell r="F30">
            <v>0</v>
          </cell>
        </row>
        <row r="31">
          <cell r="F31">
            <v>300</v>
          </cell>
        </row>
        <row r="32">
          <cell r="F32">
            <v>1150</v>
          </cell>
        </row>
        <row r="33">
          <cell r="F33">
            <v>7200</v>
          </cell>
        </row>
        <row r="34">
          <cell r="F34">
            <v>5</v>
          </cell>
        </row>
        <row r="35">
          <cell r="F35">
            <v>500.3</v>
          </cell>
        </row>
        <row r="36">
          <cell r="F36">
            <v>122749.4</v>
          </cell>
        </row>
        <row r="37">
          <cell r="F37">
            <v>26142</v>
          </cell>
        </row>
        <row r="47">
          <cell r="F47">
            <v>12818</v>
          </cell>
        </row>
        <row r="65">
          <cell r="F65">
            <v>34300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65">
          <cell r="H65">
            <v>599238</v>
          </cell>
        </row>
        <row r="66">
          <cell r="H66">
            <v>930978</v>
          </cell>
        </row>
        <row r="67">
          <cell r="H67">
            <v>437981</v>
          </cell>
        </row>
        <row r="68">
          <cell r="H68">
            <v>2817</v>
          </cell>
        </row>
        <row r="69">
          <cell r="H69">
            <v>1812</v>
          </cell>
        </row>
        <row r="70">
          <cell r="H70">
            <v>180</v>
          </cell>
        </row>
        <row r="71">
          <cell r="H71">
            <v>20</v>
          </cell>
        </row>
        <row r="72">
          <cell r="H72">
            <v>20000</v>
          </cell>
        </row>
        <row r="74">
          <cell r="H74">
            <v>595</v>
          </cell>
        </row>
        <row r="77">
          <cell r="H77">
            <v>1462292</v>
          </cell>
        </row>
      </sheetData>
      <sheetData sheetId="2">
        <row r="13">
          <cell r="J13">
            <v>20000</v>
          </cell>
          <cell r="K13">
            <v>0</v>
          </cell>
        </row>
      </sheetData>
      <sheetData sheetId="3">
        <row r="12">
          <cell r="C12">
            <v>275519</v>
          </cell>
          <cell r="F12">
            <v>268741</v>
          </cell>
        </row>
        <row r="13">
          <cell r="C13">
            <v>1399</v>
          </cell>
          <cell r="F13">
            <v>1287</v>
          </cell>
        </row>
        <row r="14">
          <cell r="C14">
            <v>74889</v>
          </cell>
          <cell r="F14">
            <v>119613</v>
          </cell>
        </row>
        <row r="15">
          <cell r="C15">
            <v>222</v>
          </cell>
          <cell r="F15">
            <v>100</v>
          </cell>
        </row>
        <row r="16">
          <cell r="C16">
            <v>108</v>
          </cell>
          <cell r="F16">
            <v>0</v>
          </cell>
        </row>
      </sheetData>
      <sheetData sheetId="4"/>
      <sheetData sheetId="5"/>
      <sheetData sheetId="6"/>
      <sheetData sheetId="7"/>
      <sheetData sheetId="8"/>
      <sheetData sheetId="9">
        <row r="12">
          <cell r="C12">
            <v>156471</v>
          </cell>
          <cell r="F12">
            <v>26229</v>
          </cell>
        </row>
        <row r="13">
          <cell r="C13"/>
          <cell r="F13">
            <v>287970</v>
          </cell>
        </row>
        <row r="14">
          <cell r="C14">
            <v>50796</v>
          </cell>
          <cell r="F14">
            <v>57014</v>
          </cell>
        </row>
        <row r="15">
          <cell r="F15">
            <v>0</v>
          </cell>
        </row>
      </sheetData>
      <sheetData sheetId="10"/>
      <sheetData sheetId="11">
        <row r="12">
          <cell r="C12">
            <v>362358</v>
          </cell>
          <cell r="F12">
            <v>253573</v>
          </cell>
        </row>
        <row r="13">
          <cell r="C13">
            <v>6240</v>
          </cell>
          <cell r="F13">
            <v>238903</v>
          </cell>
        </row>
        <row r="14">
          <cell r="C14">
            <v>127256</v>
          </cell>
          <cell r="F14">
            <v>192629</v>
          </cell>
        </row>
        <row r="15">
          <cell r="C15"/>
          <cell r="F15">
            <v>0</v>
          </cell>
        </row>
        <row r="17">
          <cell r="C17">
            <v>403776</v>
          </cell>
          <cell r="F17">
            <v>540000</v>
          </cell>
        </row>
        <row r="18">
          <cell r="C18">
            <v>440185</v>
          </cell>
          <cell r="F18">
            <v>680000</v>
          </cell>
        </row>
        <row r="19">
          <cell r="C19">
            <v>3170</v>
          </cell>
          <cell r="F19">
            <v>16000</v>
          </cell>
        </row>
        <row r="20">
          <cell r="C20">
            <v>37669</v>
          </cell>
          <cell r="F20">
            <v>164292</v>
          </cell>
        </row>
        <row r="21">
          <cell r="F21">
            <v>27000</v>
          </cell>
        </row>
        <row r="22">
          <cell r="F22">
            <v>35000</v>
          </cell>
        </row>
      </sheetData>
      <sheetData sheetId="12"/>
      <sheetData sheetId="13">
        <row r="14">
          <cell r="C14">
            <v>43002</v>
          </cell>
          <cell r="F14">
            <v>21780</v>
          </cell>
        </row>
        <row r="15">
          <cell r="C15">
            <v>66420</v>
          </cell>
          <cell r="F15">
            <v>143717</v>
          </cell>
        </row>
        <row r="16">
          <cell r="C16">
            <v>18718</v>
          </cell>
          <cell r="F16">
            <v>18407</v>
          </cell>
        </row>
        <row r="17">
          <cell r="C17">
            <v>302</v>
          </cell>
          <cell r="F17">
            <v>0</v>
          </cell>
        </row>
        <row r="18">
          <cell r="C18">
            <v>1597</v>
          </cell>
          <cell r="F18">
            <v>1812</v>
          </cell>
        </row>
        <row r="19">
          <cell r="C19">
            <v>180</v>
          </cell>
          <cell r="D19">
            <v>180</v>
          </cell>
          <cell r="F19">
            <v>180</v>
          </cell>
        </row>
        <row r="20">
          <cell r="D20">
            <v>20</v>
          </cell>
          <cell r="F20">
            <v>20</v>
          </cell>
        </row>
      </sheetData>
      <sheetData sheetId="14">
        <row r="20">
          <cell r="AL20">
            <v>0</v>
          </cell>
          <cell r="AM20">
            <v>595</v>
          </cell>
        </row>
      </sheetData>
      <sheetData sheetId="15">
        <row r="12">
          <cell r="C12">
            <v>74123</v>
          </cell>
          <cell r="F12">
            <v>28915</v>
          </cell>
        </row>
        <row r="13">
          <cell r="C13">
            <v>129005</v>
          </cell>
          <cell r="F13">
            <v>259101</v>
          </cell>
        </row>
        <row r="14">
          <cell r="C14">
            <v>14538</v>
          </cell>
          <cell r="F14">
            <v>50318</v>
          </cell>
        </row>
        <row r="15">
          <cell r="C15"/>
          <cell r="F15">
            <v>2717</v>
          </cell>
        </row>
        <row r="16">
          <cell r="C16">
            <v>8144</v>
          </cell>
        </row>
      </sheetData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199"/>
    </sheetNames>
    <sheetDataSet>
      <sheetData sheetId="0">
        <row r="15">
          <cell r="G15">
            <v>12818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99"/>
    </sheetNames>
    <sheetDataSet>
      <sheetData sheetId="0">
        <row r="14">
          <cell r="F14">
            <v>34300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</sheetNames>
    <sheetDataSet>
      <sheetData sheetId="0">
        <row r="5">
          <cell r="J5">
            <v>600808</v>
          </cell>
        </row>
        <row r="8">
          <cell r="J8">
            <v>885898.85</v>
          </cell>
        </row>
        <row r="12">
          <cell r="J12">
            <v>0</v>
          </cell>
        </row>
        <row r="13">
          <cell r="H13">
            <v>484721.35</v>
          </cell>
        </row>
        <row r="37">
          <cell r="J37" t="str">
            <v>Návrh na rozpočet OK celkem</v>
          </cell>
        </row>
        <row r="42">
          <cell r="H42">
            <v>484721.35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ůstatek na účtu"/>
      <sheetName val="Splátky úvěrů"/>
    </sheetNames>
    <sheetDataSet>
      <sheetData sheetId="0">
        <row r="13">
          <cell r="G13">
            <v>0</v>
          </cell>
        </row>
      </sheetData>
      <sheetData sheetId="1">
        <row r="15">
          <cell r="G15">
            <v>421341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ůstatek na účtu a zapojení úvě"/>
      <sheetName val="Splátky úvěrů"/>
    </sheetNames>
    <sheetDataSet>
      <sheetData sheetId="0">
        <row r="18">
          <cell r="G18">
            <v>121000</v>
          </cell>
        </row>
        <row r="24">
          <cell r="G24">
            <v>100000</v>
          </cell>
        </row>
        <row r="25">
          <cell r="G25">
            <v>400000</v>
          </cell>
        </row>
      </sheetData>
      <sheetData sheetId="1">
        <row r="20">
          <cell r="G20">
            <v>66667</v>
          </cell>
        </row>
        <row r="21">
          <cell r="G21">
            <v>18182</v>
          </cell>
        </row>
        <row r="22">
          <cell r="G22">
            <v>250000</v>
          </cell>
        </row>
        <row r="26">
          <cell r="G26">
            <v>43634</v>
          </cell>
        </row>
        <row r="27">
          <cell r="G27">
            <v>142858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Školství - ORJ 17"/>
      <sheetName val="Školství - ORJ 52"/>
      <sheetName val="Školství - ORJ 59 "/>
      <sheetName val="Školství a v. správa - ORJ 64"/>
      <sheetName val="Sociální - ORJ 17"/>
      <sheetName val="Sociální - ORJ 52"/>
      <sheetName val="Sociální - ORJ 60"/>
      <sheetName val="Sociální - ORJ 64"/>
      <sheetName val="Doprava - ORJ 17"/>
      <sheetName val="Doprava - ORJ 50 "/>
      <sheetName val="Doprava - ORJ 12-SSOK projekty"/>
      <sheetName val="Doprava - ORJ 12 - SSOK -SFDI"/>
      <sheetName val="Kultura - ORJ 17 "/>
      <sheetName val="Kultura - ORJ 52"/>
      <sheetName val="Kultura - ORJ 19"/>
      <sheetName val="Zdravotnictví - ORJ 17 "/>
      <sheetName val="Zdravotnictví - SMN - ORJ 17 "/>
      <sheetName val="Zdravotnictví - ORJ 19 -ZZS"/>
      <sheetName val="Zdravotnictví - ORJ 19 - DC"/>
      <sheetName val="Zdravotnictví - SMN - ORJ 52 "/>
      <sheetName val="Zdravotnictví - ORJ 19 - nákupy"/>
      <sheetName val="Cestovní ruch - ORJ 59"/>
      <sheetName val="Životní prostředí - ORJ 59"/>
      <sheetName val="Úz. plánování - ORJ 59"/>
      <sheetName val="Reg. rozvoj - ORJ 74"/>
      <sheetName val="Rozv. lidských zdr. - ORJ 76"/>
      <sheetName val="ORJ 30"/>
      <sheetName val="KÚ a zast. - ORJ 03"/>
      <sheetName val="KÚ a zast. - ORJ 06"/>
    </sheetNames>
    <sheetDataSet>
      <sheetData sheetId="0"/>
      <sheetData sheetId="1">
        <row r="38">
          <cell r="P38">
            <v>1500</v>
          </cell>
          <cell r="Q38">
            <v>83310</v>
          </cell>
        </row>
      </sheetData>
      <sheetData sheetId="2">
        <row r="17">
          <cell r="Q17">
            <v>21476</v>
          </cell>
          <cell r="U17">
            <v>5264</v>
          </cell>
        </row>
      </sheetData>
      <sheetData sheetId="3">
        <row r="10">
          <cell r="Q10">
            <v>2250</v>
          </cell>
          <cell r="T10">
            <v>250</v>
          </cell>
        </row>
      </sheetData>
      <sheetData sheetId="4">
        <row r="15">
          <cell r="Q15">
            <v>649</v>
          </cell>
          <cell r="T15">
            <v>3221</v>
          </cell>
        </row>
      </sheetData>
      <sheetData sheetId="5">
        <row r="30">
          <cell r="Q30">
            <v>74390</v>
          </cell>
        </row>
      </sheetData>
      <sheetData sheetId="6">
        <row r="16">
          <cell r="Q16">
            <v>34548.35</v>
          </cell>
          <cell r="U16">
            <v>25412</v>
          </cell>
        </row>
      </sheetData>
      <sheetData sheetId="7">
        <row r="13">
          <cell r="T13">
            <v>4059</v>
          </cell>
        </row>
      </sheetData>
      <sheetData sheetId="8">
        <row r="14">
          <cell r="T14">
            <v>500</v>
          </cell>
        </row>
      </sheetData>
      <sheetData sheetId="9">
        <row r="34">
          <cell r="Q34">
            <v>47744</v>
          </cell>
        </row>
      </sheetData>
      <sheetData sheetId="10">
        <row r="23">
          <cell r="Q23">
            <v>211129</v>
          </cell>
          <cell r="U23">
            <v>146572</v>
          </cell>
        </row>
      </sheetData>
      <sheetData sheetId="11">
        <row r="14">
          <cell r="Q14">
            <v>0</v>
          </cell>
          <cell r="T14">
            <v>40722</v>
          </cell>
        </row>
      </sheetData>
      <sheetData sheetId="12">
        <row r="37">
          <cell r="Q37">
            <v>45067</v>
          </cell>
        </row>
      </sheetData>
      <sheetData sheetId="13">
        <row r="17">
          <cell r="Q17">
            <v>75410</v>
          </cell>
        </row>
      </sheetData>
      <sheetData sheetId="14">
        <row r="14">
          <cell r="Q14">
            <v>23527</v>
          </cell>
          <cell r="T14">
            <v>7796</v>
          </cell>
        </row>
      </sheetData>
      <sheetData sheetId="15">
        <row r="10">
          <cell r="Q10">
            <v>600</v>
          </cell>
        </row>
      </sheetData>
      <sheetData sheetId="16">
        <row r="23">
          <cell r="Q23">
            <v>18491</v>
          </cell>
        </row>
      </sheetData>
      <sheetData sheetId="17">
        <row r="8">
          <cell r="P8">
            <v>2000</v>
          </cell>
          <cell r="Q8">
            <v>9034</v>
          </cell>
        </row>
      </sheetData>
      <sheetData sheetId="18">
        <row r="13">
          <cell r="R13">
            <v>19204</v>
          </cell>
        </row>
      </sheetData>
      <sheetData sheetId="19">
        <row r="12">
          <cell r="O12">
            <v>1017</v>
          </cell>
        </row>
      </sheetData>
      <sheetData sheetId="20">
        <row r="14">
          <cell r="Q14">
            <v>10000</v>
          </cell>
          <cell r="T14">
            <v>125250</v>
          </cell>
        </row>
      </sheetData>
      <sheetData sheetId="21">
        <row r="16">
          <cell r="Q16">
            <v>35086.5</v>
          </cell>
        </row>
      </sheetData>
      <sheetData sheetId="22">
        <row r="11">
          <cell r="R11">
            <v>2700</v>
          </cell>
          <cell r="T11">
            <v>1757</v>
          </cell>
        </row>
      </sheetData>
      <sheetData sheetId="23">
        <row r="13">
          <cell r="Q13">
            <v>4096</v>
          </cell>
          <cell r="T13">
            <v>4000</v>
          </cell>
        </row>
      </sheetData>
      <sheetData sheetId="24">
        <row r="10">
          <cell r="Q10">
            <v>34000</v>
          </cell>
          <cell r="T10">
            <v>6000</v>
          </cell>
        </row>
      </sheetData>
      <sheetData sheetId="25">
        <row r="65">
          <cell r="Q65">
            <v>3707</v>
          </cell>
          <cell r="T65">
            <v>1946</v>
          </cell>
        </row>
      </sheetData>
      <sheetData sheetId="26">
        <row r="26">
          <cell r="Q26">
            <v>200</v>
          </cell>
          <cell r="T26">
            <v>248</v>
          </cell>
        </row>
      </sheetData>
      <sheetData sheetId="27">
        <row r="11">
          <cell r="T11">
            <v>1650</v>
          </cell>
        </row>
      </sheetData>
      <sheetData sheetId="28">
        <row r="11">
          <cell r="O11">
            <v>650</v>
          </cell>
        </row>
      </sheetData>
      <sheetData sheetId="29">
        <row r="15">
          <cell r="O15">
            <v>2000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 95%"/>
      <sheetName val="predikce"/>
    </sheetNames>
    <sheetDataSet>
      <sheetData sheetId="0">
        <row r="13">
          <cell r="F13">
            <v>1185</v>
          </cell>
        </row>
        <row r="14">
          <cell r="F14">
            <v>1420</v>
          </cell>
        </row>
        <row r="15">
          <cell r="F15">
            <v>160</v>
          </cell>
        </row>
        <row r="16">
          <cell r="F16">
            <v>283803</v>
          </cell>
        </row>
        <row r="17">
          <cell r="F17">
            <v>25</v>
          </cell>
        </row>
        <row r="18">
          <cell r="F18">
            <v>223</v>
          </cell>
        </row>
        <row r="19">
          <cell r="F19">
            <v>32868.1</v>
          </cell>
        </row>
        <row r="20">
          <cell r="F20">
            <v>142.19999999999999</v>
          </cell>
        </row>
        <row r="21">
          <cell r="F21">
            <v>800</v>
          </cell>
        </row>
        <row r="22">
          <cell r="F22">
            <v>2120</v>
          </cell>
        </row>
        <row r="23">
          <cell r="F23">
            <v>1598</v>
          </cell>
        </row>
        <row r="24">
          <cell r="F24">
            <v>5</v>
          </cell>
        </row>
        <row r="25">
          <cell r="F25">
            <v>0</v>
          </cell>
        </row>
        <row r="26">
          <cell r="F26">
            <v>164292</v>
          </cell>
        </row>
        <row r="27">
          <cell r="F27">
            <v>680</v>
          </cell>
        </row>
        <row r="28">
          <cell r="F28">
            <v>1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300</v>
          </cell>
        </row>
        <row r="32">
          <cell r="F32">
            <v>1150</v>
          </cell>
        </row>
        <row r="33">
          <cell r="F33">
            <v>7200</v>
          </cell>
        </row>
        <row r="34">
          <cell r="F34">
            <v>5</v>
          </cell>
        </row>
        <row r="35">
          <cell r="F35">
            <v>500.3</v>
          </cell>
        </row>
        <row r="36">
          <cell r="F36">
            <v>122749.4</v>
          </cell>
        </row>
        <row r="37">
          <cell r="F37">
            <v>212215</v>
          </cell>
        </row>
        <row r="38">
          <cell r="F38">
            <v>26142</v>
          </cell>
        </row>
      </sheetData>
      <sheetData sheetId="1">
        <row r="10">
          <cell r="C10">
            <v>1383152</v>
          </cell>
          <cell r="D10">
            <v>1201152</v>
          </cell>
          <cell r="H10">
            <v>1350341</v>
          </cell>
        </row>
        <row r="11">
          <cell r="C11">
            <v>27000</v>
          </cell>
          <cell r="D11">
            <v>8000</v>
          </cell>
          <cell r="H11">
            <v>20255</v>
          </cell>
        </row>
        <row r="12">
          <cell r="C12">
            <v>121000</v>
          </cell>
          <cell r="D12">
            <v>121000</v>
          </cell>
          <cell r="H12">
            <v>128283</v>
          </cell>
        </row>
        <row r="13">
          <cell r="C13">
            <v>1130000</v>
          </cell>
          <cell r="D13">
            <v>796413</v>
          </cell>
          <cell r="H13">
            <v>796701</v>
          </cell>
        </row>
        <row r="14">
          <cell r="C14">
            <v>2800000</v>
          </cell>
          <cell r="D14">
            <v>2543000</v>
          </cell>
          <cell r="H14">
            <v>2666924</v>
          </cell>
        </row>
      </sheetData>
      <sheetData sheetId="2">
        <row r="7">
          <cell r="D7">
            <v>1210</v>
          </cell>
          <cell r="E7">
            <v>1210</v>
          </cell>
          <cell r="F7">
            <v>1185</v>
          </cell>
        </row>
        <row r="8">
          <cell r="D8">
            <v>1210</v>
          </cell>
          <cell r="E8">
            <v>1580</v>
          </cell>
          <cell r="F8">
            <v>1420</v>
          </cell>
        </row>
        <row r="9">
          <cell r="D9">
            <v>120</v>
          </cell>
          <cell r="E9">
            <v>120</v>
          </cell>
          <cell r="F9">
            <v>160</v>
          </cell>
        </row>
        <row r="10">
          <cell r="D10">
            <v>257871</v>
          </cell>
          <cell r="E10">
            <v>260390</v>
          </cell>
          <cell r="F10">
            <v>283803</v>
          </cell>
        </row>
        <row r="11">
          <cell r="D11">
            <v>25</v>
          </cell>
          <cell r="E11">
            <v>25</v>
          </cell>
          <cell r="F11">
            <v>25</v>
          </cell>
        </row>
        <row r="12">
          <cell r="D12">
            <v>223</v>
          </cell>
          <cell r="E12">
            <v>223</v>
          </cell>
          <cell r="F12">
            <v>223</v>
          </cell>
        </row>
        <row r="13">
          <cell r="D13">
            <v>32267.1</v>
          </cell>
          <cell r="E13">
            <v>32854.1</v>
          </cell>
          <cell r="F13">
            <v>32868.1</v>
          </cell>
        </row>
        <row r="14">
          <cell r="D14">
            <v>142.19999999999999</v>
          </cell>
          <cell r="E14">
            <v>142.19999999999999</v>
          </cell>
          <cell r="F14">
            <v>142.19999999999999</v>
          </cell>
        </row>
        <row r="15">
          <cell r="D15">
            <v>600</v>
          </cell>
          <cell r="E15">
            <v>600</v>
          </cell>
          <cell r="F15">
            <v>800</v>
          </cell>
        </row>
        <row r="17">
          <cell r="D17">
            <v>2425</v>
          </cell>
          <cell r="E17">
            <v>2425</v>
          </cell>
          <cell r="F17">
            <v>2120</v>
          </cell>
        </row>
        <row r="18">
          <cell r="D18">
            <v>0</v>
          </cell>
          <cell r="E18">
            <v>0</v>
          </cell>
          <cell r="F18">
            <v>1598</v>
          </cell>
        </row>
        <row r="19">
          <cell r="D19">
            <v>5</v>
          </cell>
          <cell r="E19">
            <v>5</v>
          </cell>
          <cell r="F19">
            <v>5</v>
          </cell>
        </row>
        <row r="20">
          <cell r="D20">
            <v>300</v>
          </cell>
          <cell r="E20">
            <v>300</v>
          </cell>
          <cell r="F20">
            <v>0</v>
          </cell>
        </row>
        <row r="21">
          <cell r="D21">
            <v>153500</v>
          </cell>
          <cell r="E21">
            <v>153500</v>
          </cell>
          <cell r="F21">
            <v>164292</v>
          </cell>
        </row>
        <row r="22">
          <cell r="D22">
            <v>610</v>
          </cell>
          <cell r="E22">
            <v>2297</v>
          </cell>
          <cell r="F22">
            <v>680</v>
          </cell>
        </row>
        <row r="23">
          <cell r="E23">
            <v>1</v>
          </cell>
          <cell r="F23">
            <v>1</v>
          </cell>
        </row>
        <row r="24">
          <cell r="D24">
            <v>100</v>
          </cell>
          <cell r="E24">
            <v>100</v>
          </cell>
          <cell r="F24">
            <v>0</v>
          </cell>
        </row>
        <row r="25">
          <cell r="F25">
            <v>0</v>
          </cell>
        </row>
        <row r="26">
          <cell r="D26">
            <v>300</v>
          </cell>
          <cell r="E26">
            <v>600</v>
          </cell>
          <cell r="F26">
            <v>300</v>
          </cell>
        </row>
        <row r="27">
          <cell r="D27">
            <v>600</v>
          </cell>
          <cell r="E27">
            <v>600</v>
          </cell>
          <cell r="F27">
            <v>1150</v>
          </cell>
        </row>
        <row r="28">
          <cell r="D28">
            <v>9600</v>
          </cell>
          <cell r="E28">
            <v>9600</v>
          </cell>
          <cell r="F28">
            <v>7200</v>
          </cell>
        </row>
        <row r="29">
          <cell r="D29">
            <v>5</v>
          </cell>
          <cell r="E29">
            <v>5</v>
          </cell>
          <cell r="F29">
            <v>5</v>
          </cell>
        </row>
        <row r="30">
          <cell r="D30">
            <v>4000.2</v>
          </cell>
          <cell r="E30">
            <v>4000.2</v>
          </cell>
          <cell r="F30">
            <v>500.3</v>
          </cell>
        </row>
        <row r="31">
          <cell r="F31">
            <v>212215</v>
          </cell>
        </row>
        <row r="32">
          <cell r="D32">
            <v>25012</v>
          </cell>
          <cell r="E32">
            <v>28012</v>
          </cell>
          <cell r="F32">
            <v>26142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6"/>
    </sheetNames>
    <sheetDataSet>
      <sheetData sheetId="0">
        <row r="24">
          <cell r="D24">
            <v>529104</v>
          </cell>
          <cell r="E24">
            <v>561055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  <sheetName val="03 pod čarou"/>
    </sheetNames>
    <sheetDataSet>
      <sheetData sheetId="0">
        <row r="23">
          <cell r="H23">
            <v>884329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</sheetNames>
    <sheetDataSet>
      <sheetData sheetId="0">
        <row r="23">
          <cell r="H23">
            <v>932961</v>
          </cell>
        </row>
      </sheetData>
      <sheetData sheetId="1">
        <row r="13">
          <cell r="E13">
            <v>45868</v>
          </cell>
          <cell r="F13">
            <v>46096</v>
          </cell>
          <cell r="G13">
            <v>41281</v>
          </cell>
        </row>
      </sheetData>
      <sheetData sheetId="2">
        <row r="13">
          <cell r="E13">
            <v>425240</v>
          </cell>
          <cell r="F13">
            <v>456732</v>
          </cell>
          <cell r="G13">
            <v>432487</v>
          </cell>
        </row>
      </sheetData>
      <sheetData sheetId="3">
        <row r="12">
          <cell r="E12">
            <v>4842</v>
          </cell>
          <cell r="F12">
            <v>9882</v>
          </cell>
          <cell r="G12">
            <v>4494</v>
          </cell>
        </row>
      </sheetData>
      <sheetData sheetId="4">
        <row r="10">
          <cell r="E10">
            <v>35531</v>
          </cell>
          <cell r="F10">
            <v>32873</v>
          </cell>
          <cell r="G10">
            <v>28260</v>
          </cell>
        </row>
      </sheetData>
      <sheetData sheetId="5">
        <row r="12">
          <cell r="E12">
            <v>205487</v>
          </cell>
          <cell r="F12">
            <v>194002</v>
          </cell>
          <cell r="G12">
            <v>169670</v>
          </cell>
        </row>
      </sheetData>
      <sheetData sheetId="6">
        <row r="18">
          <cell r="E18">
            <v>28176</v>
          </cell>
          <cell r="F18">
            <v>28776</v>
          </cell>
          <cell r="G18">
            <v>20109</v>
          </cell>
        </row>
      </sheetData>
      <sheetData sheetId="7">
        <row r="18">
          <cell r="E18">
            <v>6152</v>
          </cell>
          <cell r="F18">
            <v>6152</v>
          </cell>
          <cell r="G18">
            <v>3437</v>
          </cell>
        </row>
      </sheetData>
      <sheetData sheetId="8">
        <row r="16">
          <cell r="E16">
            <v>12090</v>
          </cell>
          <cell r="F16">
            <v>12006</v>
          </cell>
          <cell r="G16">
            <v>10781</v>
          </cell>
        </row>
      </sheetData>
      <sheetData sheetId="9">
        <row r="16">
          <cell r="E16">
            <v>6205</v>
          </cell>
          <cell r="F16">
            <v>2180</v>
          </cell>
          <cell r="G16">
            <v>1707</v>
          </cell>
        </row>
      </sheetData>
      <sheetData sheetId="10">
        <row r="13">
          <cell r="E13">
            <v>600</v>
          </cell>
          <cell r="F13">
            <v>644</v>
          </cell>
          <cell r="G13">
            <v>2040</v>
          </cell>
        </row>
      </sheetData>
      <sheetData sheetId="11">
        <row r="13">
          <cell r="E13">
            <v>15346</v>
          </cell>
          <cell r="F13">
            <v>43061</v>
          </cell>
          <cell r="G13">
            <v>22270</v>
          </cell>
        </row>
      </sheetData>
      <sheetData sheetId="12">
        <row r="16">
          <cell r="E16">
            <v>50310</v>
          </cell>
          <cell r="F16">
            <v>50658</v>
          </cell>
          <cell r="G16">
            <v>51610</v>
          </cell>
        </row>
      </sheetData>
      <sheetData sheetId="13">
        <row r="11">
          <cell r="E11">
            <v>1290</v>
          </cell>
          <cell r="F11">
            <v>2179</v>
          </cell>
          <cell r="G11">
            <v>1161</v>
          </cell>
        </row>
      </sheetData>
      <sheetData sheetId="14">
        <row r="27">
          <cell r="E27">
            <v>57952</v>
          </cell>
          <cell r="F27">
            <v>108691</v>
          </cell>
          <cell r="G27">
            <v>72656</v>
          </cell>
        </row>
      </sheetData>
      <sheetData sheetId="15">
        <row r="17">
          <cell r="E17">
            <v>65982</v>
          </cell>
          <cell r="F17">
            <v>64904</v>
          </cell>
          <cell r="G17">
            <v>70485</v>
          </cell>
        </row>
      </sheetData>
      <sheetData sheetId="16">
        <row r="11">
          <cell r="C11"/>
          <cell r="D11"/>
          <cell r="E11">
            <v>570</v>
          </cell>
          <cell r="F11">
            <v>560</v>
          </cell>
          <cell r="G11">
            <v>513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39">
          <cell r="G139">
            <v>778658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25">
          <cell r="G125">
            <v>439507</v>
          </cell>
        </row>
      </sheetData>
      <sheetData sheetId="1">
        <row r="20">
          <cell r="G20">
            <v>600</v>
          </cell>
          <cell r="H20"/>
        </row>
        <row r="23">
          <cell r="G23">
            <v>75</v>
          </cell>
          <cell r="H23"/>
        </row>
        <row r="29">
          <cell r="G29">
            <v>350</v>
          </cell>
          <cell r="H29"/>
        </row>
        <row r="32">
          <cell r="G32">
            <v>300</v>
          </cell>
          <cell r="H32"/>
        </row>
        <row r="38">
          <cell r="G38">
            <v>33000</v>
          </cell>
          <cell r="H38"/>
        </row>
        <row r="39">
          <cell r="G39">
            <v>3000</v>
          </cell>
          <cell r="H39"/>
        </row>
        <row r="40">
          <cell r="G40">
            <v>3000</v>
          </cell>
          <cell r="H40"/>
        </row>
        <row r="44">
          <cell r="G44">
            <v>1000</v>
          </cell>
          <cell r="H44"/>
        </row>
      </sheetData>
      <sheetData sheetId="2">
        <row r="22">
          <cell r="G22">
            <v>8000</v>
          </cell>
          <cell r="H22"/>
        </row>
        <row r="29">
          <cell r="G29">
            <v>300</v>
          </cell>
          <cell r="H29"/>
        </row>
        <row r="30">
          <cell r="G30">
            <v>438</v>
          </cell>
          <cell r="H30"/>
        </row>
        <row r="37">
          <cell r="G37">
            <v>2500</v>
          </cell>
          <cell r="H37"/>
        </row>
        <row r="39">
          <cell r="G39">
            <v>500</v>
          </cell>
          <cell r="H39"/>
        </row>
        <row r="46">
          <cell r="G46">
            <v>250</v>
          </cell>
          <cell r="H46"/>
        </row>
        <row r="47">
          <cell r="G47">
            <v>2000</v>
          </cell>
          <cell r="H47"/>
        </row>
      </sheetData>
      <sheetData sheetId="3">
        <row r="17">
          <cell r="G17">
            <v>500</v>
          </cell>
          <cell r="H17"/>
        </row>
        <row r="24">
          <cell r="G24">
            <v>600</v>
          </cell>
          <cell r="H24"/>
        </row>
        <row r="30">
          <cell r="G30">
            <v>880</v>
          </cell>
          <cell r="H30"/>
        </row>
        <row r="36">
          <cell r="G36">
            <v>18500</v>
          </cell>
          <cell r="H36"/>
        </row>
      </sheetData>
      <sheetData sheetId="4">
        <row r="25">
          <cell r="G25">
            <v>1500</v>
          </cell>
          <cell r="H25"/>
        </row>
        <row r="26">
          <cell r="G26">
            <v>113</v>
          </cell>
          <cell r="H26"/>
        </row>
        <row r="27">
          <cell r="G27">
            <v>1500</v>
          </cell>
          <cell r="H27"/>
        </row>
        <row r="28">
          <cell r="G28">
            <v>2250</v>
          </cell>
          <cell r="H28"/>
        </row>
        <row r="29">
          <cell r="G29">
            <v>5700</v>
          </cell>
          <cell r="H29"/>
        </row>
        <row r="44">
          <cell r="G44">
            <v>40000</v>
          </cell>
          <cell r="H44"/>
        </row>
      </sheetData>
      <sheetData sheetId="5">
        <row r="17">
          <cell r="G17">
            <v>11000</v>
          </cell>
          <cell r="H17"/>
        </row>
        <row r="22">
          <cell r="G22">
            <v>5000</v>
          </cell>
          <cell r="H22"/>
        </row>
        <row r="29">
          <cell r="G29">
            <v>4000</v>
          </cell>
          <cell r="H29"/>
        </row>
      </sheetData>
      <sheetData sheetId="6">
        <row r="64">
          <cell r="G64">
            <v>30100</v>
          </cell>
          <cell r="H64"/>
        </row>
        <row r="65">
          <cell r="G65">
            <v>22500</v>
          </cell>
          <cell r="H65"/>
        </row>
        <row r="73">
          <cell r="G73">
            <v>9300</v>
          </cell>
          <cell r="H73"/>
        </row>
        <row r="74">
          <cell r="G74">
            <v>200</v>
          </cell>
          <cell r="H74"/>
        </row>
        <row r="75">
          <cell r="G75">
            <v>2000</v>
          </cell>
          <cell r="H75"/>
        </row>
        <row r="76">
          <cell r="G76">
            <v>2500</v>
          </cell>
          <cell r="H76"/>
        </row>
        <row r="87">
          <cell r="G87">
            <v>1250</v>
          </cell>
          <cell r="H87"/>
        </row>
        <row r="93">
          <cell r="G93">
            <v>3800</v>
          </cell>
          <cell r="H93"/>
        </row>
        <row r="99">
          <cell r="G99">
            <v>1500</v>
          </cell>
          <cell r="H99"/>
        </row>
        <row r="105">
          <cell r="G105">
            <v>29250</v>
          </cell>
          <cell r="H105"/>
        </row>
        <row r="120">
          <cell r="G120">
            <v>4000</v>
          </cell>
          <cell r="H120"/>
        </row>
        <row r="128">
          <cell r="G128">
            <v>7300</v>
          </cell>
          <cell r="H128"/>
        </row>
        <row r="129">
          <cell r="G129">
            <v>6300</v>
          </cell>
          <cell r="H129"/>
        </row>
        <row r="134">
          <cell r="G134">
            <v>1500</v>
          </cell>
          <cell r="H134"/>
        </row>
        <row r="135">
          <cell r="G135">
            <v>1000</v>
          </cell>
          <cell r="H135"/>
        </row>
        <row r="138">
          <cell r="G138">
            <v>10550</v>
          </cell>
          <cell r="H138"/>
        </row>
        <row r="145">
          <cell r="G145">
            <v>15000</v>
          </cell>
          <cell r="H145"/>
        </row>
        <row r="151">
          <cell r="G151">
            <v>11790</v>
          </cell>
          <cell r="H151"/>
        </row>
        <row r="155">
          <cell r="G155">
            <v>12500</v>
          </cell>
          <cell r="H155"/>
        </row>
        <row r="163">
          <cell r="G163">
            <v>700</v>
          </cell>
          <cell r="H163"/>
        </row>
      </sheetData>
      <sheetData sheetId="7">
        <row r="23">
          <cell r="G23">
            <v>1375</v>
          </cell>
          <cell r="H23"/>
        </row>
        <row r="24">
          <cell r="G24">
            <v>450</v>
          </cell>
          <cell r="H24"/>
        </row>
        <row r="25">
          <cell r="G25">
            <v>300</v>
          </cell>
          <cell r="H25"/>
        </row>
        <row r="26">
          <cell r="G26">
            <v>300</v>
          </cell>
          <cell r="H26"/>
        </row>
        <row r="34">
          <cell r="G34">
            <v>200</v>
          </cell>
          <cell r="H34"/>
        </row>
        <row r="42">
          <cell r="G42">
            <v>700</v>
          </cell>
          <cell r="H42"/>
        </row>
        <row r="43">
          <cell r="G43">
            <v>1550</v>
          </cell>
          <cell r="H43"/>
        </row>
        <row r="46">
          <cell r="G46">
            <v>1500</v>
          </cell>
          <cell r="H46"/>
        </row>
        <row r="54">
          <cell r="G54">
            <v>4000</v>
          </cell>
          <cell r="H54"/>
        </row>
        <row r="59">
          <cell r="G59">
            <v>2500</v>
          </cell>
          <cell r="H59"/>
        </row>
        <row r="61">
          <cell r="G61">
            <v>400</v>
          </cell>
          <cell r="H61"/>
        </row>
        <row r="65">
          <cell r="G65">
            <v>200</v>
          </cell>
          <cell r="H65"/>
        </row>
        <row r="66">
          <cell r="G66">
            <v>200</v>
          </cell>
          <cell r="H66"/>
        </row>
      </sheetData>
      <sheetData sheetId="8">
        <row r="18">
          <cell r="G18">
            <v>1000</v>
          </cell>
          <cell r="H18"/>
        </row>
        <row r="19">
          <cell r="G19">
            <v>400</v>
          </cell>
          <cell r="H19"/>
        </row>
        <row r="20">
          <cell r="G20">
            <v>600</v>
          </cell>
          <cell r="H20"/>
        </row>
        <row r="21">
          <cell r="G21">
            <v>6100</v>
          </cell>
          <cell r="H21"/>
        </row>
        <row r="33">
          <cell r="G33">
            <v>2800</v>
          </cell>
          <cell r="H33"/>
        </row>
        <row r="36">
          <cell r="G36">
            <v>5200</v>
          </cell>
          <cell r="H36"/>
        </row>
        <row r="44">
          <cell r="G44">
            <v>2000</v>
          </cell>
          <cell r="H44"/>
        </row>
        <row r="45">
          <cell r="G45">
            <v>1500</v>
          </cell>
          <cell r="H45"/>
        </row>
      </sheetData>
      <sheetData sheetId="9">
        <row r="11">
          <cell r="D11">
            <v>96125</v>
          </cell>
          <cell r="E11">
            <v>128322</v>
          </cell>
          <cell r="F11">
            <v>81336</v>
          </cell>
        </row>
      </sheetData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65">
          <cell r="H65">
            <v>612867</v>
          </cell>
        </row>
        <row r="66">
          <cell r="H66">
            <v>939668</v>
          </cell>
        </row>
        <row r="67">
          <cell r="H67">
            <v>437981</v>
          </cell>
        </row>
        <row r="68">
          <cell r="H68">
            <v>11530</v>
          </cell>
        </row>
        <row r="69">
          <cell r="H69">
            <v>1812</v>
          </cell>
        </row>
        <row r="70">
          <cell r="H70">
            <v>180</v>
          </cell>
        </row>
        <row r="71">
          <cell r="H71">
            <v>20</v>
          </cell>
        </row>
        <row r="72">
          <cell r="H72">
            <v>20000</v>
          </cell>
        </row>
        <row r="75">
          <cell r="H75">
            <v>600</v>
          </cell>
        </row>
        <row r="76">
          <cell r="H76">
            <v>595</v>
          </cell>
        </row>
        <row r="77">
          <cell r="H77">
            <v>1462292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view="pageBreakPreview" topLeftCell="A49" zoomScaleNormal="100" zoomScaleSheetLayoutView="100" workbookViewId="0">
      <selection activeCell="Q59" sqref="Q59"/>
    </sheetView>
  </sheetViews>
  <sheetFormatPr defaultColWidth="9.140625" defaultRowHeight="14.25" x14ac:dyDescent="0.2"/>
  <cols>
    <col min="1" max="7" width="9.140625" style="70"/>
    <col min="8" max="9" width="9.140625" style="1012"/>
    <col min="10" max="16384" width="9.140625" style="70"/>
  </cols>
  <sheetData>
    <row r="1" spans="1:9" ht="15" customHeight="1" thickBot="1" x14ac:dyDescent="0.25">
      <c r="A1" s="61"/>
      <c r="B1" s="61"/>
      <c r="C1" s="61"/>
      <c r="D1" s="61"/>
      <c r="E1" s="61"/>
      <c r="F1" s="61"/>
      <c r="G1" s="61"/>
      <c r="H1" s="1011"/>
      <c r="I1" s="47" t="s">
        <v>23</v>
      </c>
    </row>
    <row r="2" spans="1:9" ht="15.75" thickTop="1" x14ac:dyDescent="0.25">
      <c r="A2" s="63" t="s">
        <v>570</v>
      </c>
    </row>
    <row r="4" spans="1:9" ht="33" customHeight="1" x14ac:dyDescent="0.2">
      <c r="A4" s="1018" t="s">
        <v>571</v>
      </c>
      <c r="B4" s="1018"/>
      <c r="C4" s="1018"/>
      <c r="D4" s="1018"/>
      <c r="E4" s="1018"/>
      <c r="F4" s="1018"/>
      <c r="G4" s="1018"/>
      <c r="H4" s="1018"/>
      <c r="I4" s="43" t="s">
        <v>518</v>
      </c>
    </row>
    <row r="5" spans="1:9" s="45" customFormat="1" ht="18" customHeight="1" x14ac:dyDescent="0.2">
      <c r="A5" s="1021" t="s">
        <v>517</v>
      </c>
      <c r="B5" s="1021"/>
      <c r="C5" s="1021"/>
      <c r="D5" s="1021"/>
      <c r="E5" s="1021"/>
      <c r="F5" s="1021"/>
      <c r="G5" s="1021"/>
      <c r="H5" s="1021"/>
      <c r="I5" s="43" t="s">
        <v>527</v>
      </c>
    </row>
    <row r="6" spans="1:9" s="45" customFormat="1" ht="18" customHeight="1" x14ac:dyDescent="0.2">
      <c r="A6" s="1021" t="s">
        <v>519</v>
      </c>
      <c r="B6" s="1021"/>
      <c r="C6" s="1021"/>
      <c r="D6" s="1021"/>
      <c r="E6" s="1021"/>
      <c r="F6" s="1021"/>
      <c r="G6" s="1021"/>
      <c r="H6" s="1021"/>
      <c r="I6" s="43" t="s">
        <v>528</v>
      </c>
    </row>
    <row r="7" spans="1:9" s="45" customFormat="1" ht="18" customHeight="1" x14ac:dyDescent="0.2">
      <c r="A7" s="1021" t="s">
        <v>520</v>
      </c>
      <c r="B7" s="1021"/>
      <c r="C7" s="1021"/>
      <c r="D7" s="1021"/>
      <c r="E7" s="1021"/>
      <c r="F7" s="1021"/>
      <c r="G7" s="1021"/>
      <c r="H7" s="1021"/>
      <c r="I7" s="43" t="s">
        <v>529</v>
      </c>
    </row>
    <row r="8" spans="1:9" s="45" customFormat="1" ht="18" customHeight="1" x14ac:dyDescent="0.2">
      <c r="A8" s="1021" t="s">
        <v>521</v>
      </c>
      <c r="B8" s="1021"/>
      <c r="C8" s="1021"/>
      <c r="D8" s="1021"/>
      <c r="E8" s="1021"/>
      <c r="F8" s="1021"/>
      <c r="G8" s="1021"/>
      <c r="H8" s="1021"/>
      <c r="I8" s="43" t="s">
        <v>530</v>
      </c>
    </row>
    <row r="9" spans="1:9" s="45" customFormat="1" ht="18" customHeight="1" x14ac:dyDescent="0.2">
      <c r="A9" s="1021" t="s">
        <v>522</v>
      </c>
      <c r="B9" s="1021"/>
      <c r="C9" s="1021"/>
      <c r="D9" s="1021"/>
      <c r="E9" s="1021"/>
      <c r="F9" s="1021"/>
      <c r="G9" s="1021"/>
      <c r="H9" s="1021"/>
      <c r="I9" s="43" t="s">
        <v>531</v>
      </c>
    </row>
    <row r="10" spans="1:9" s="45" customFormat="1" ht="31.5" customHeight="1" x14ac:dyDescent="0.2">
      <c r="A10" s="1021" t="s">
        <v>523</v>
      </c>
      <c r="B10" s="1021"/>
      <c r="C10" s="1021"/>
      <c r="D10" s="1021"/>
      <c r="E10" s="1021"/>
      <c r="F10" s="1021"/>
      <c r="G10" s="1021"/>
      <c r="H10" s="1021"/>
      <c r="I10" s="43" t="s">
        <v>532</v>
      </c>
    </row>
    <row r="11" spans="1:9" s="45" customFormat="1" ht="18" customHeight="1" x14ac:dyDescent="0.2">
      <c r="A11" s="1021" t="s">
        <v>524</v>
      </c>
      <c r="B11" s="1021"/>
      <c r="C11" s="1021"/>
      <c r="D11" s="1021"/>
      <c r="E11" s="1021"/>
      <c r="F11" s="1021"/>
      <c r="G11" s="1021"/>
      <c r="H11" s="1021"/>
      <c r="I11" s="43" t="s">
        <v>533</v>
      </c>
    </row>
    <row r="12" spans="1:9" s="45" customFormat="1" ht="18" customHeight="1" x14ac:dyDescent="0.2">
      <c r="A12" s="1021" t="s">
        <v>525</v>
      </c>
      <c r="B12" s="1021"/>
      <c r="C12" s="1021"/>
      <c r="D12" s="1021"/>
      <c r="E12" s="1021"/>
      <c r="F12" s="1021"/>
      <c r="G12" s="1021"/>
      <c r="H12" s="1021"/>
      <c r="I12" s="43" t="s">
        <v>534</v>
      </c>
    </row>
    <row r="13" spans="1:9" ht="15" x14ac:dyDescent="0.2">
      <c r="A13" s="1008"/>
      <c r="B13" s="1008"/>
      <c r="C13" s="1008"/>
      <c r="D13" s="1008"/>
      <c r="E13" s="1008"/>
      <c r="F13" s="1008"/>
      <c r="G13" s="1008"/>
      <c r="H13" s="1008"/>
      <c r="I13" s="43"/>
    </row>
    <row r="14" spans="1:9" ht="15" x14ac:dyDescent="0.25">
      <c r="A14" s="62" t="s">
        <v>113</v>
      </c>
      <c r="I14" s="1013"/>
    </row>
    <row r="15" spans="1:9" ht="4.5" customHeight="1" x14ac:dyDescent="0.2">
      <c r="I15" s="1013"/>
    </row>
    <row r="16" spans="1:9" ht="20.100000000000001" customHeight="1" x14ac:dyDescent="0.2">
      <c r="A16" s="45" t="s">
        <v>114</v>
      </c>
      <c r="B16" s="45"/>
      <c r="C16" s="45"/>
      <c r="D16" s="45"/>
      <c r="E16" s="45"/>
      <c r="F16" s="45"/>
      <c r="G16" s="45"/>
      <c r="H16" s="41"/>
      <c r="I16" s="43" t="s">
        <v>535</v>
      </c>
    </row>
    <row r="17" spans="1:10" ht="20.100000000000001" customHeight="1" x14ac:dyDescent="0.2">
      <c r="A17" s="1019" t="s">
        <v>115</v>
      </c>
      <c r="B17" s="1019"/>
      <c r="C17" s="1019"/>
      <c r="D17" s="1019"/>
      <c r="E17" s="1019"/>
      <c r="F17" s="1019"/>
      <c r="G17" s="1019"/>
      <c r="H17" s="1019"/>
      <c r="I17" s="43" t="s">
        <v>536</v>
      </c>
    </row>
    <row r="18" spans="1:10" ht="20.100000000000001" customHeight="1" x14ac:dyDescent="0.2">
      <c r="A18" s="45" t="s">
        <v>116</v>
      </c>
      <c r="B18" s="45"/>
      <c r="C18" s="45"/>
      <c r="D18" s="45"/>
      <c r="E18" s="45"/>
      <c r="F18" s="45"/>
      <c r="G18" s="45"/>
      <c r="H18" s="41"/>
      <c r="I18" s="43" t="s">
        <v>537</v>
      </c>
    </row>
    <row r="19" spans="1:10" ht="20.100000000000001" customHeight="1" x14ac:dyDescent="0.2">
      <c r="A19" s="45" t="s">
        <v>117</v>
      </c>
      <c r="B19" s="45"/>
      <c r="C19" s="45"/>
      <c r="D19" s="45"/>
      <c r="E19" s="45"/>
      <c r="F19" s="45"/>
      <c r="G19" s="45"/>
      <c r="H19" s="41"/>
      <c r="I19" s="43" t="s">
        <v>119</v>
      </c>
    </row>
    <row r="20" spans="1:10" ht="30" customHeight="1" x14ac:dyDescent="0.25">
      <c r="A20" s="62" t="s">
        <v>118</v>
      </c>
      <c r="I20" s="1013"/>
    </row>
    <row r="21" spans="1:10" ht="6" customHeight="1" x14ac:dyDescent="0.2">
      <c r="I21" s="1013"/>
    </row>
    <row r="22" spans="1:10" ht="15" x14ac:dyDescent="0.25">
      <c r="A22" s="63" t="s">
        <v>59</v>
      </c>
      <c r="H22" s="1012" t="s">
        <v>24</v>
      </c>
      <c r="I22" s="1013"/>
    </row>
    <row r="23" spans="1:10" ht="20.100000000000001" customHeight="1" x14ac:dyDescent="0.2">
      <c r="A23" s="64" t="s">
        <v>25</v>
      </c>
      <c r="B23" s="65"/>
      <c r="C23" s="45"/>
      <c r="D23" s="45"/>
      <c r="E23" s="45"/>
      <c r="F23" s="45"/>
      <c r="G23" s="45"/>
      <c r="H23" s="41"/>
      <c r="I23" s="42" t="s">
        <v>538</v>
      </c>
      <c r="J23" s="45"/>
    </row>
    <row r="24" spans="1:10" ht="20.100000000000001" customHeight="1" x14ac:dyDescent="0.2">
      <c r="A24" s="66" t="s">
        <v>26</v>
      </c>
      <c r="B24" s="45"/>
      <c r="C24" s="45"/>
      <c r="D24" s="45"/>
      <c r="E24" s="45"/>
      <c r="F24" s="45"/>
      <c r="G24" s="67">
        <v>1</v>
      </c>
      <c r="H24" s="41"/>
      <c r="I24" s="43" t="s">
        <v>539</v>
      </c>
      <c r="J24" s="45"/>
    </row>
    <row r="25" spans="1:10" ht="20.100000000000001" customHeight="1" x14ac:dyDescent="0.2">
      <c r="A25" s="66" t="s">
        <v>49</v>
      </c>
      <c r="B25" s="45"/>
      <c r="C25" s="45"/>
      <c r="D25" s="45"/>
      <c r="E25" s="45"/>
      <c r="F25" s="45"/>
      <c r="G25" s="67">
        <v>3</v>
      </c>
      <c r="H25" s="41"/>
      <c r="I25" s="43" t="s">
        <v>540</v>
      </c>
      <c r="J25" s="45"/>
    </row>
    <row r="26" spans="1:10" ht="20.100000000000001" customHeight="1" x14ac:dyDescent="0.2">
      <c r="A26" s="66" t="s">
        <v>93</v>
      </c>
      <c r="B26" s="45"/>
      <c r="C26" s="45"/>
      <c r="D26" s="45"/>
      <c r="E26" s="45"/>
      <c r="F26" s="45"/>
      <c r="G26" s="67">
        <v>4</v>
      </c>
      <c r="H26" s="41"/>
      <c r="I26" s="42" t="s">
        <v>541</v>
      </c>
      <c r="J26" s="45"/>
    </row>
    <row r="27" spans="1:10" ht="20.100000000000001" customHeight="1" x14ac:dyDescent="0.2">
      <c r="A27" s="66" t="s">
        <v>84</v>
      </c>
      <c r="B27" s="45"/>
      <c r="C27" s="45"/>
      <c r="D27" s="45"/>
      <c r="E27" s="45"/>
      <c r="F27" s="45"/>
      <c r="G27" s="67">
        <v>6</v>
      </c>
      <c r="H27" s="41"/>
      <c r="I27" s="42" t="s">
        <v>542</v>
      </c>
      <c r="J27" s="45"/>
    </row>
    <row r="28" spans="1:10" ht="20.100000000000001" customHeight="1" x14ac:dyDescent="0.2">
      <c r="A28" s="66" t="s">
        <v>27</v>
      </c>
      <c r="B28" s="45"/>
      <c r="C28" s="45"/>
      <c r="D28" s="45"/>
      <c r="E28" s="45"/>
      <c r="F28" s="45"/>
      <c r="G28" s="67">
        <v>7</v>
      </c>
      <c r="H28" s="41"/>
      <c r="I28" s="43" t="s">
        <v>543</v>
      </c>
      <c r="J28" s="45"/>
    </row>
    <row r="29" spans="1:10" ht="20.100000000000001" customHeight="1" x14ac:dyDescent="0.2">
      <c r="A29" s="1020" t="s">
        <v>57</v>
      </c>
      <c r="B29" s="1020"/>
      <c r="C29" s="1020"/>
      <c r="D29" s="1020"/>
      <c r="E29" s="1020"/>
      <c r="F29" s="1020"/>
      <c r="G29" s="68">
        <v>8</v>
      </c>
      <c r="H29" s="52"/>
      <c r="I29" s="53" t="s">
        <v>544</v>
      </c>
      <c r="J29" s="45"/>
    </row>
    <row r="30" spans="1:10" ht="20.100000000000001" customHeight="1" x14ac:dyDescent="0.2">
      <c r="A30" s="66" t="s">
        <v>28</v>
      </c>
      <c r="B30" s="45"/>
      <c r="C30" s="45"/>
      <c r="D30" s="45"/>
      <c r="E30" s="45"/>
      <c r="F30" s="45"/>
      <c r="G30" s="67">
        <v>9</v>
      </c>
      <c r="H30" s="41"/>
      <c r="I30" s="43" t="s">
        <v>545</v>
      </c>
      <c r="J30" s="45"/>
    </row>
    <row r="31" spans="1:10" ht="20.100000000000001" customHeight="1" x14ac:dyDescent="0.2">
      <c r="A31" s="66" t="s">
        <v>85</v>
      </c>
      <c r="B31" s="45"/>
      <c r="C31" s="45"/>
      <c r="D31" s="45"/>
      <c r="E31" s="45"/>
      <c r="F31" s="45"/>
      <c r="G31" s="65">
        <v>10</v>
      </c>
      <c r="H31" s="41"/>
      <c r="I31" s="43" t="s">
        <v>546</v>
      </c>
      <c r="J31" s="45"/>
    </row>
    <row r="32" spans="1:10" ht="20.100000000000001" customHeight="1" x14ac:dyDescent="0.2">
      <c r="A32" s="66" t="s">
        <v>29</v>
      </c>
      <c r="B32" s="45"/>
      <c r="C32" s="45"/>
      <c r="D32" s="45"/>
      <c r="E32" s="45"/>
      <c r="F32" s="45"/>
      <c r="G32" s="65">
        <v>11</v>
      </c>
      <c r="H32" s="41"/>
      <c r="I32" s="43" t="s">
        <v>547</v>
      </c>
      <c r="J32" s="45"/>
    </row>
    <row r="33" spans="1:10" ht="20.100000000000001" customHeight="1" x14ac:dyDescent="0.2">
      <c r="A33" s="66" t="s">
        <v>30</v>
      </c>
      <c r="B33" s="45"/>
      <c r="C33" s="45"/>
      <c r="D33" s="45"/>
      <c r="E33" s="45"/>
      <c r="F33" s="45"/>
      <c r="G33" s="65">
        <v>12</v>
      </c>
      <c r="H33" s="41"/>
      <c r="I33" s="43" t="s">
        <v>548</v>
      </c>
      <c r="J33" s="45"/>
    </row>
    <row r="34" spans="1:10" ht="20.100000000000001" customHeight="1" x14ac:dyDescent="0.2">
      <c r="A34" s="66" t="s">
        <v>86</v>
      </c>
      <c r="B34" s="45"/>
      <c r="C34" s="45"/>
      <c r="D34" s="45"/>
      <c r="E34" s="45"/>
      <c r="F34" s="45"/>
      <c r="G34" s="65">
        <v>13</v>
      </c>
      <c r="H34" s="41"/>
      <c r="I34" s="43" t="s">
        <v>549</v>
      </c>
      <c r="J34" s="45"/>
    </row>
    <row r="35" spans="1:10" ht="20.100000000000001" customHeight="1" x14ac:dyDescent="0.2">
      <c r="A35" s="66" t="s">
        <v>31</v>
      </c>
      <c r="B35" s="45"/>
      <c r="C35" s="45"/>
      <c r="D35" s="45"/>
      <c r="E35" s="45"/>
      <c r="F35" s="45"/>
      <c r="G35" s="65">
        <v>14</v>
      </c>
      <c r="H35" s="41"/>
      <c r="I35" s="43" t="s">
        <v>101</v>
      </c>
      <c r="J35" s="45"/>
    </row>
    <row r="36" spans="1:10" ht="20.100000000000001" customHeight="1" x14ac:dyDescent="0.2">
      <c r="A36" s="45" t="s">
        <v>87</v>
      </c>
      <c r="B36" s="45"/>
      <c r="C36" s="45"/>
      <c r="D36" s="45"/>
      <c r="E36" s="45"/>
      <c r="F36" s="45"/>
      <c r="G36" s="69">
        <v>17</v>
      </c>
      <c r="H36" s="41"/>
      <c r="I36" s="43" t="s">
        <v>102</v>
      </c>
      <c r="J36" s="45"/>
    </row>
    <row r="37" spans="1:10" ht="20.100000000000001" customHeight="1" x14ac:dyDescent="0.2">
      <c r="A37" s="45" t="s">
        <v>88</v>
      </c>
      <c r="B37" s="45"/>
      <c r="C37" s="45"/>
      <c r="D37" s="45"/>
      <c r="E37" s="45"/>
      <c r="F37" s="45"/>
      <c r="G37" s="69">
        <v>18</v>
      </c>
      <c r="H37" s="41"/>
      <c r="I37" s="43" t="s">
        <v>550</v>
      </c>
      <c r="J37" s="45"/>
    </row>
    <row r="38" spans="1:10" ht="20.100000000000001" customHeight="1" x14ac:dyDescent="0.2">
      <c r="A38" s="45" t="s">
        <v>50</v>
      </c>
      <c r="B38" s="45"/>
      <c r="C38" s="45"/>
      <c r="D38" s="45"/>
      <c r="E38" s="45"/>
      <c r="F38" s="45"/>
      <c r="G38" s="69">
        <v>19</v>
      </c>
      <c r="H38" s="41"/>
      <c r="I38" s="43" t="s">
        <v>551</v>
      </c>
      <c r="J38" s="45"/>
    </row>
    <row r="39" spans="1:10" ht="20.100000000000001" customHeight="1" x14ac:dyDescent="0.2">
      <c r="A39" s="45" t="s">
        <v>58</v>
      </c>
      <c r="B39" s="45"/>
      <c r="C39" s="45"/>
      <c r="D39" s="45"/>
      <c r="E39" s="45"/>
      <c r="F39" s="45"/>
      <c r="G39" s="69">
        <v>20</v>
      </c>
      <c r="H39" s="41"/>
      <c r="I39" s="43" t="s">
        <v>552</v>
      </c>
      <c r="J39" s="45"/>
    </row>
    <row r="40" spans="1:10" ht="20.100000000000001" customHeight="1" x14ac:dyDescent="0.2">
      <c r="A40" s="45"/>
      <c r="B40" s="45"/>
      <c r="C40" s="45"/>
      <c r="D40" s="45"/>
      <c r="E40" s="45"/>
      <c r="F40" s="45"/>
      <c r="G40" s="69"/>
      <c r="H40" s="41"/>
      <c r="I40" s="43"/>
      <c r="J40" s="45"/>
    </row>
    <row r="41" spans="1:10" ht="15" thickBot="1" x14ac:dyDescent="0.25">
      <c r="A41" s="61"/>
      <c r="B41" s="61"/>
      <c r="C41" s="61"/>
      <c r="D41" s="61"/>
      <c r="E41" s="61"/>
      <c r="F41" s="61"/>
      <c r="G41" s="61"/>
      <c r="H41" s="1011"/>
      <c r="I41" s="47" t="s">
        <v>23</v>
      </c>
    </row>
    <row r="42" spans="1:10" ht="15.75" thickTop="1" x14ac:dyDescent="0.25">
      <c r="A42" s="72" t="s">
        <v>60</v>
      </c>
      <c r="C42" s="955"/>
      <c r="D42" s="955"/>
      <c r="G42" s="955"/>
      <c r="H42" s="1014" t="s">
        <v>24</v>
      </c>
      <c r="I42" s="1015"/>
    </row>
    <row r="43" spans="1:10" ht="20.100000000000001" customHeight="1" x14ac:dyDescent="0.2">
      <c r="A43" s="64" t="s">
        <v>25</v>
      </c>
      <c r="B43" s="65"/>
      <c r="C43" s="45"/>
      <c r="D43" s="45"/>
      <c r="E43" s="45"/>
      <c r="F43" s="45"/>
      <c r="G43" s="45"/>
      <c r="H43" s="41"/>
      <c r="I43" s="42" t="s">
        <v>553</v>
      </c>
      <c r="J43" s="45"/>
    </row>
    <row r="44" spans="1:10" ht="20.100000000000001" customHeight="1" x14ac:dyDescent="0.2">
      <c r="A44" s="1020" t="s">
        <v>57</v>
      </c>
      <c r="B44" s="1020"/>
      <c r="C44" s="1020"/>
      <c r="D44" s="1020"/>
      <c r="E44" s="1020"/>
      <c r="F44" s="1020"/>
      <c r="G44" s="68">
        <v>8</v>
      </c>
      <c r="H44" s="52"/>
      <c r="I44" s="53" t="s">
        <v>120</v>
      </c>
      <c r="J44" s="45"/>
    </row>
    <row r="45" spans="1:10" ht="20.100000000000001" customHeight="1" x14ac:dyDescent="0.2">
      <c r="A45" s="66" t="s">
        <v>28</v>
      </c>
      <c r="B45" s="45"/>
      <c r="C45" s="45"/>
      <c r="D45" s="45"/>
      <c r="E45" s="45"/>
      <c r="F45" s="45"/>
      <c r="G45" s="67">
        <v>9</v>
      </c>
      <c r="H45" s="41"/>
      <c r="I45" s="43" t="s">
        <v>554</v>
      </c>
      <c r="J45" s="45"/>
    </row>
    <row r="46" spans="1:10" ht="20.100000000000001" customHeight="1" x14ac:dyDescent="0.2">
      <c r="A46" s="66" t="s">
        <v>85</v>
      </c>
      <c r="B46" s="45"/>
      <c r="C46" s="45"/>
      <c r="D46" s="45"/>
      <c r="E46" s="45"/>
      <c r="F46" s="45"/>
      <c r="G46" s="65">
        <v>10</v>
      </c>
      <c r="H46" s="41"/>
      <c r="I46" s="43" t="s">
        <v>555</v>
      </c>
      <c r="J46" s="45"/>
    </row>
    <row r="47" spans="1:10" ht="20.100000000000001" customHeight="1" x14ac:dyDescent="0.2">
      <c r="A47" s="66" t="s">
        <v>29</v>
      </c>
      <c r="B47" s="45"/>
      <c r="C47" s="45"/>
      <c r="D47" s="45"/>
      <c r="E47" s="45"/>
      <c r="F47" s="45"/>
      <c r="G47" s="65">
        <v>11</v>
      </c>
      <c r="H47" s="41"/>
      <c r="I47" s="43" t="s">
        <v>556</v>
      </c>
      <c r="J47" s="45"/>
    </row>
    <row r="48" spans="1:10" ht="20.100000000000001" customHeight="1" x14ac:dyDescent="0.2">
      <c r="A48" s="66" t="s">
        <v>30</v>
      </c>
      <c r="B48" s="45"/>
      <c r="C48" s="45"/>
      <c r="D48" s="45"/>
      <c r="E48" s="45"/>
      <c r="F48" s="45"/>
      <c r="G48" s="65">
        <v>12</v>
      </c>
      <c r="H48" s="41"/>
      <c r="I48" s="43" t="s">
        <v>557</v>
      </c>
      <c r="J48" s="45"/>
    </row>
    <row r="49" spans="1:10" ht="21" customHeight="1" x14ac:dyDescent="0.2">
      <c r="A49" s="66" t="s">
        <v>86</v>
      </c>
      <c r="B49" s="45"/>
      <c r="C49" s="45"/>
      <c r="D49" s="45"/>
      <c r="E49" s="45"/>
      <c r="F49" s="45"/>
      <c r="G49" s="65">
        <v>13</v>
      </c>
      <c r="H49" s="41"/>
      <c r="I49" s="43" t="s">
        <v>558</v>
      </c>
      <c r="J49" s="45"/>
    </row>
    <row r="50" spans="1:10" ht="20.100000000000001" customHeight="1" x14ac:dyDescent="0.2">
      <c r="A50" s="66" t="s">
        <v>31</v>
      </c>
      <c r="B50" s="45"/>
      <c r="C50" s="45"/>
      <c r="D50" s="45"/>
      <c r="E50" s="45"/>
      <c r="F50" s="45"/>
      <c r="G50" s="65">
        <v>14</v>
      </c>
      <c r="H50" s="41"/>
      <c r="I50" s="43" t="s">
        <v>559</v>
      </c>
      <c r="J50" s="45"/>
    </row>
    <row r="51" spans="1:10" ht="20.100000000000001" customHeight="1" x14ac:dyDescent="0.2">
      <c r="A51" s="45" t="s">
        <v>88</v>
      </c>
      <c r="B51" s="45"/>
      <c r="C51" s="45"/>
      <c r="D51" s="45"/>
      <c r="E51" s="45"/>
      <c r="F51" s="45"/>
      <c r="G51" s="69">
        <v>18</v>
      </c>
      <c r="H51" s="41"/>
      <c r="I51" s="43" t="s">
        <v>560</v>
      </c>
      <c r="J51" s="45"/>
    </row>
    <row r="52" spans="1:10" ht="19.5" customHeight="1" x14ac:dyDescent="0.2">
      <c r="A52" s="45" t="s">
        <v>92</v>
      </c>
      <c r="I52" s="1012">
        <v>84</v>
      </c>
    </row>
    <row r="54" spans="1:10" ht="15" x14ac:dyDescent="0.25">
      <c r="A54" s="63" t="s">
        <v>61</v>
      </c>
      <c r="B54" s="45"/>
      <c r="C54" s="45"/>
      <c r="D54" s="45"/>
      <c r="E54" s="45"/>
      <c r="F54" s="45"/>
      <c r="G54" s="45"/>
      <c r="H54" s="41"/>
      <c r="I54" s="1013"/>
      <c r="J54" s="45"/>
    </row>
    <row r="55" spans="1:10" ht="20.100000000000001" customHeight="1" x14ac:dyDescent="0.2">
      <c r="A55" s="64" t="s">
        <v>25</v>
      </c>
      <c r="I55" s="43" t="s">
        <v>121</v>
      </c>
    </row>
    <row r="56" spans="1:10" ht="20.100000000000001" customHeight="1" x14ac:dyDescent="0.2">
      <c r="A56" s="66" t="s">
        <v>67</v>
      </c>
      <c r="D56" s="45"/>
      <c r="E56" s="45"/>
      <c r="F56" s="45"/>
      <c r="G56" s="67">
        <v>19</v>
      </c>
      <c r="I56" s="43" t="s">
        <v>561</v>
      </c>
    </row>
    <row r="57" spans="1:10" ht="20.100000000000001" customHeight="1" x14ac:dyDescent="0.2">
      <c r="A57" s="66" t="s">
        <v>32</v>
      </c>
      <c r="B57" s="45"/>
      <c r="C57" s="45"/>
      <c r="D57" s="45"/>
      <c r="E57" s="45"/>
      <c r="F57" s="45"/>
      <c r="G57" s="69">
        <v>19</v>
      </c>
      <c r="H57" s="41"/>
      <c r="I57" s="43" t="s">
        <v>562</v>
      </c>
      <c r="J57" s="45"/>
    </row>
    <row r="58" spans="1:10" ht="20.100000000000001" customHeight="1" x14ac:dyDescent="0.2">
      <c r="A58" s="66" t="s">
        <v>35</v>
      </c>
      <c r="D58" s="45"/>
      <c r="E58" s="45"/>
      <c r="F58" s="45"/>
      <c r="G58" s="67">
        <v>19</v>
      </c>
      <c r="I58" s="43" t="s">
        <v>563</v>
      </c>
      <c r="J58" s="45"/>
    </row>
    <row r="59" spans="1:10" ht="20.100000000000001" customHeight="1" x14ac:dyDescent="0.2">
      <c r="A59" s="66" t="s">
        <v>33</v>
      </c>
      <c r="B59" s="65"/>
      <c r="D59" s="45"/>
      <c r="E59" s="45"/>
      <c r="F59" s="45"/>
      <c r="G59" s="69">
        <v>19</v>
      </c>
      <c r="H59" s="41"/>
      <c r="I59" s="43" t="s">
        <v>564</v>
      </c>
      <c r="J59" s="45"/>
    </row>
    <row r="60" spans="1:10" ht="20.100000000000001" customHeight="1" x14ac:dyDescent="0.2">
      <c r="A60" s="66" t="s">
        <v>34</v>
      </c>
      <c r="D60" s="45"/>
      <c r="E60" s="45"/>
      <c r="F60" s="45"/>
      <c r="G60" s="67">
        <v>19</v>
      </c>
      <c r="I60" s="43" t="s">
        <v>565</v>
      </c>
      <c r="J60" s="45"/>
    </row>
    <row r="61" spans="1:10" ht="20.100000000000001" customHeight="1" x14ac:dyDescent="0.2">
      <c r="A61" s="66" t="s">
        <v>36</v>
      </c>
      <c r="D61" s="45"/>
      <c r="E61" s="45"/>
      <c r="F61" s="45"/>
      <c r="G61" s="67">
        <v>19</v>
      </c>
      <c r="I61" s="43" t="s">
        <v>566</v>
      </c>
      <c r="J61" s="45"/>
    </row>
    <row r="62" spans="1:10" x14ac:dyDescent="0.2">
      <c r="A62" s="45"/>
      <c r="D62" s="45"/>
      <c r="E62" s="45"/>
      <c r="F62" s="45"/>
      <c r="G62" s="67"/>
      <c r="I62" s="44"/>
      <c r="J62" s="45"/>
    </row>
    <row r="63" spans="1:10" ht="15" x14ac:dyDescent="0.25">
      <c r="A63" s="63" t="s">
        <v>62</v>
      </c>
      <c r="B63" s="45"/>
      <c r="C63" s="45"/>
      <c r="D63" s="45"/>
      <c r="E63" s="45"/>
      <c r="F63" s="45"/>
      <c r="G63" s="45"/>
      <c r="H63" s="41"/>
      <c r="I63" s="43" t="s">
        <v>567</v>
      </c>
      <c r="J63" s="45"/>
    </row>
    <row r="64" spans="1:10" ht="15" x14ac:dyDescent="0.25">
      <c r="A64" s="63"/>
      <c r="B64" s="45"/>
      <c r="C64" s="45"/>
      <c r="D64" s="45"/>
      <c r="E64" s="45"/>
      <c r="F64" s="45"/>
      <c r="G64" s="45"/>
      <c r="H64" s="41"/>
      <c r="I64" s="43"/>
      <c r="J64" s="45"/>
    </row>
    <row r="65" spans="1:10" x14ac:dyDescent="0.2">
      <c r="A65" s="1016" t="s">
        <v>63</v>
      </c>
      <c r="B65" s="1017"/>
      <c r="C65" s="1017"/>
      <c r="D65" s="1017"/>
      <c r="E65" s="1017"/>
      <c r="F65" s="1017"/>
      <c r="G65" s="1017"/>
      <c r="H65" s="41"/>
      <c r="I65" s="43" t="s">
        <v>568</v>
      </c>
      <c r="J65" s="45"/>
    </row>
    <row r="66" spans="1:10" ht="15" customHeight="1" x14ac:dyDescent="0.2">
      <c r="A66" s="1017"/>
      <c r="B66" s="1017"/>
      <c r="C66" s="1017"/>
      <c r="D66" s="1017"/>
      <c r="E66" s="1017"/>
      <c r="F66" s="1017"/>
      <c r="G66" s="1017"/>
      <c r="H66" s="41"/>
      <c r="I66" s="41"/>
      <c r="J66" s="45"/>
    </row>
    <row r="67" spans="1:10" x14ac:dyDescent="0.2">
      <c r="B67" s="45"/>
      <c r="C67" s="45"/>
      <c r="D67" s="45"/>
      <c r="E67" s="45"/>
      <c r="F67" s="45"/>
      <c r="G67" s="45"/>
      <c r="H67" s="41"/>
      <c r="I67" s="41"/>
      <c r="J67" s="45"/>
    </row>
    <row r="68" spans="1:10" ht="15" x14ac:dyDescent="0.25">
      <c r="A68" s="62" t="s">
        <v>68</v>
      </c>
      <c r="B68" s="45"/>
      <c r="C68" s="45"/>
      <c r="D68" s="45"/>
      <c r="E68" s="45"/>
      <c r="F68" s="45"/>
      <c r="G68" s="45"/>
      <c r="H68" s="41"/>
      <c r="I68" s="43"/>
      <c r="J68" s="45"/>
    </row>
    <row r="69" spans="1:10" ht="20.100000000000001" customHeight="1" x14ac:dyDescent="0.2">
      <c r="A69" s="45" t="s">
        <v>526</v>
      </c>
      <c r="B69" s="45"/>
      <c r="C69" s="45"/>
      <c r="D69" s="45"/>
      <c r="E69" s="45"/>
      <c r="F69" s="45"/>
      <c r="G69" s="45"/>
      <c r="H69" s="41"/>
      <c r="I69" s="41">
        <v>106</v>
      </c>
      <c r="J69" s="45"/>
    </row>
    <row r="70" spans="1:10" ht="20.100000000000001" customHeight="1" x14ac:dyDescent="0.2">
      <c r="A70" s="45" t="s">
        <v>69</v>
      </c>
      <c r="B70" s="45"/>
      <c r="C70" s="45"/>
      <c r="D70" s="45"/>
      <c r="E70" s="45"/>
      <c r="F70" s="45"/>
      <c r="G70" s="45"/>
      <c r="H70" s="41"/>
      <c r="I70" s="41">
        <v>107</v>
      </c>
      <c r="J70" s="45"/>
    </row>
    <row r="71" spans="1:10" ht="15" x14ac:dyDescent="0.25">
      <c r="A71" s="63"/>
      <c r="B71" s="45"/>
      <c r="C71" s="45"/>
      <c r="D71" s="45"/>
      <c r="E71" s="45"/>
      <c r="F71" s="45"/>
      <c r="G71" s="45"/>
      <c r="H71" s="41"/>
      <c r="I71" s="41"/>
      <c r="J71" s="45"/>
    </row>
    <row r="72" spans="1:10" ht="15" x14ac:dyDescent="0.25">
      <c r="A72" s="62" t="s">
        <v>122</v>
      </c>
      <c r="B72" s="45"/>
      <c r="C72" s="45"/>
      <c r="D72" s="45"/>
      <c r="E72" s="45"/>
      <c r="F72" s="45"/>
      <c r="G72" s="45"/>
      <c r="H72" s="41"/>
      <c r="I72" s="41" t="s">
        <v>572</v>
      </c>
      <c r="J72" s="45"/>
    </row>
    <row r="74" spans="1:10" ht="15" hidden="1" x14ac:dyDescent="0.25">
      <c r="A74" s="62" t="s">
        <v>103</v>
      </c>
      <c r="I74" s="1012" t="s">
        <v>104</v>
      </c>
    </row>
    <row r="75" spans="1:10" hidden="1" x14ac:dyDescent="0.2"/>
    <row r="76" spans="1:10" ht="15" hidden="1" x14ac:dyDescent="0.25">
      <c r="A76" s="62" t="s">
        <v>91</v>
      </c>
      <c r="B76" s="71"/>
      <c r="C76" s="71"/>
      <c r="D76" s="71"/>
      <c r="E76" s="45"/>
      <c r="F76" s="45"/>
      <c r="G76" s="45"/>
      <c r="H76" s="41"/>
      <c r="I76" s="43"/>
    </row>
    <row r="77" spans="1:10" ht="15" hidden="1" x14ac:dyDescent="0.25">
      <c r="A77" s="62"/>
      <c r="B77" s="71"/>
      <c r="C77" s="71"/>
      <c r="D77" s="71"/>
      <c r="E77" s="45"/>
      <c r="F77" s="45"/>
      <c r="G77" s="45"/>
      <c r="H77" s="41"/>
      <c r="I77" s="43"/>
    </row>
    <row r="78" spans="1:10" hidden="1" x14ac:dyDescent="0.2">
      <c r="A78" s="66" t="s">
        <v>70</v>
      </c>
      <c r="B78" s="45"/>
      <c r="C78" s="45"/>
      <c r="D78" s="45"/>
      <c r="E78" s="45"/>
      <c r="F78" s="45"/>
      <c r="G78" s="69">
        <v>19</v>
      </c>
      <c r="H78" s="41"/>
      <c r="I78" s="43" t="s">
        <v>77</v>
      </c>
    </row>
    <row r="79" spans="1:10" hidden="1" x14ac:dyDescent="0.2">
      <c r="A79" s="66"/>
      <c r="B79" s="45"/>
      <c r="C79" s="45"/>
      <c r="D79" s="45"/>
      <c r="E79" s="45"/>
      <c r="F79" s="45"/>
      <c r="G79" s="69"/>
      <c r="H79" s="41"/>
      <c r="I79" s="41"/>
    </row>
    <row r="80" spans="1:10" hidden="1" x14ac:dyDescent="0.2">
      <c r="A80" s="66" t="s">
        <v>72</v>
      </c>
      <c r="D80" s="45"/>
      <c r="E80" s="45"/>
      <c r="F80" s="45"/>
      <c r="G80" s="67">
        <v>19</v>
      </c>
      <c r="I80" s="43" t="s">
        <v>79</v>
      </c>
    </row>
    <row r="81" spans="1:10" hidden="1" x14ac:dyDescent="0.2">
      <c r="A81" s="66"/>
      <c r="B81" s="65"/>
      <c r="D81" s="45"/>
      <c r="E81" s="45"/>
      <c r="F81" s="45"/>
      <c r="G81" s="69"/>
      <c r="H81" s="41"/>
      <c r="I81" s="46"/>
    </row>
    <row r="82" spans="1:10" hidden="1" x14ac:dyDescent="0.2">
      <c r="A82" s="66" t="s">
        <v>74</v>
      </c>
      <c r="B82" s="65"/>
      <c r="D82" s="45"/>
      <c r="E82" s="45"/>
      <c r="F82" s="45"/>
      <c r="G82" s="69">
        <v>19</v>
      </c>
      <c r="H82" s="41"/>
      <c r="I82" s="43" t="s">
        <v>105</v>
      </c>
    </row>
    <row r="83" spans="1:10" hidden="1" x14ac:dyDescent="0.2">
      <c r="A83" s="66"/>
      <c r="D83" s="45"/>
      <c r="E83" s="45"/>
      <c r="F83" s="45"/>
      <c r="G83" s="67"/>
      <c r="I83" s="46"/>
    </row>
    <row r="84" spans="1:10" hidden="1" x14ac:dyDescent="0.2">
      <c r="A84" s="66" t="s">
        <v>76</v>
      </c>
      <c r="D84" s="45"/>
      <c r="E84" s="45"/>
      <c r="F84" s="45"/>
      <c r="G84" s="67">
        <v>19</v>
      </c>
      <c r="I84" s="43" t="s">
        <v>106</v>
      </c>
    </row>
    <row r="85" spans="1:10" hidden="1" x14ac:dyDescent="0.2">
      <c r="A85" s="66"/>
      <c r="D85" s="45"/>
      <c r="E85" s="45"/>
      <c r="F85" s="45"/>
      <c r="G85" s="67"/>
      <c r="I85" s="46"/>
    </row>
    <row r="86" spans="1:10" hidden="1" x14ac:dyDescent="0.2">
      <c r="A86" s="66" t="s">
        <v>78</v>
      </c>
      <c r="D86" s="45"/>
      <c r="E86" s="45"/>
      <c r="F86" s="45"/>
      <c r="G86" s="67">
        <v>19</v>
      </c>
      <c r="I86" s="43" t="s">
        <v>107</v>
      </c>
    </row>
    <row r="87" spans="1:10" hidden="1" x14ac:dyDescent="0.2"/>
    <row r="88" spans="1:10" ht="15" x14ac:dyDescent="0.25">
      <c r="A88" s="62" t="s">
        <v>569</v>
      </c>
      <c r="B88" s="45"/>
      <c r="C88" s="45"/>
      <c r="D88" s="45"/>
      <c r="E88" s="45"/>
      <c r="F88" s="45"/>
      <c r="G88" s="45"/>
      <c r="H88" s="41"/>
      <c r="I88" s="41" t="s">
        <v>573</v>
      </c>
      <c r="J88" s="45"/>
    </row>
    <row r="90" spans="1:10" ht="15" x14ac:dyDescent="0.25">
      <c r="A90" s="62" t="s">
        <v>91</v>
      </c>
      <c r="B90" s="45"/>
      <c r="C90" s="45"/>
      <c r="D90" s="45"/>
      <c r="E90" s="45"/>
      <c r="F90" s="45"/>
      <c r="G90" s="45"/>
      <c r="H90" s="41"/>
      <c r="I90" s="41" t="s">
        <v>574</v>
      </c>
      <c r="J90" s="45"/>
    </row>
  </sheetData>
  <mergeCells count="13">
    <mergeCell ref="A65:G66"/>
    <mergeCell ref="A4:H4"/>
    <mergeCell ref="A17:H17"/>
    <mergeCell ref="A29:F29"/>
    <mergeCell ref="A44:F44"/>
    <mergeCell ref="A5:H5"/>
    <mergeCell ref="A6:H6"/>
    <mergeCell ref="A7:H7"/>
    <mergeCell ref="A8:H8"/>
    <mergeCell ref="A9:H9"/>
    <mergeCell ref="A10:H10"/>
    <mergeCell ref="A11:H11"/>
    <mergeCell ref="A12:H12"/>
  </mergeCells>
  <pageMargins left="0.70866141732283472" right="0.70866141732283472" top="0.78740157480314965" bottom="0.78740157480314965" header="0.31496062992125984" footer="0.31496062992125984"/>
  <pageSetup paperSize="9" firstPageNumber="5" orientation="portrait" useFirstPageNumber="1" r:id="rId1"/>
  <headerFooter>
    <oddFooter>&amp;L&amp;"-,Kurzíva"Zastupitelstvo Olomouckého kraje 21-12-2020
11. - Rozpočet Olomouckého kraje 2021 - návrh rozpočtu&amp;R&amp;"-,Kurzíva"Strana &amp;P (Celkem 150)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60"/>
  <sheetViews>
    <sheetView showGridLines="0" view="pageBreakPreview" topLeftCell="A16" zoomScale="70" zoomScaleNormal="80" zoomScaleSheetLayoutView="70" workbookViewId="0">
      <selection activeCell="R31" sqref="R31"/>
    </sheetView>
  </sheetViews>
  <sheetFormatPr defaultRowHeight="15" x14ac:dyDescent="0.25"/>
  <cols>
    <col min="1" max="1" width="3" style="809" customWidth="1"/>
    <col min="2" max="2" width="36.140625" style="809" customWidth="1"/>
    <col min="3" max="3" width="114.7109375" style="809" customWidth="1"/>
    <col min="4" max="4" width="22.5703125" style="809" customWidth="1"/>
    <col min="5" max="5" width="23.5703125" style="809" customWidth="1"/>
    <col min="6" max="6" width="18" style="809" customWidth="1"/>
    <col min="7" max="7" width="21.5703125" style="809" customWidth="1"/>
    <col min="8" max="8" width="23.28515625" style="809" customWidth="1"/>
    <col min="9" max="10" width="22.42578125" style="809" customWidth="1"/>
    <col min="11" max="256" width="9.140625" style="809"/>
    <col min="257" max="257" width="27.28515625" style="809" customWidth="1"/>
    <col min="258" max="258" width="72.5703125" style="809" customWidth="1"/>
    <col min="259" max="259" width="27.42578125" style="809" customWidth="1"/>
    <col min="260" max="260" width="32.140625" style="809" customWidth="1"/>
    <col min="261" max="261" width="32.7109375" style="809" customWidth="1"/>
    <col min="262" max="512" width="9.140625" style="809"/>
    <col min="513" max="513" width="27.28515625" style="809" customWidth="1"/>
    <col min="514" max="514" width="72.5703125" style="809" customWidth="1"/>
    <col min="515" max="515" width="27.42578125" style="809" customWidth="1"/>
    <col min="516" max="516" width="32.140625" style="809" customWidth="1"/>
    <col min="517" max="517" width="32.7109375" style="809" customWidth="1"/>
    <col min="518" max="768" width="9.140625" style="809"/>
    <col min="769" max="769" width="27.28515625" style="809" customWidth="1"/>
    <col min="770" max="770" width="72.5703125" style="809" customWidth="1"/>
    <col min="771" max="771" width="27.42578125" style="809" customWidth="1"/>
    <col min="772" max="772" width="32.140625" style="809" customWidth="1"/>
    <col min="773" max="773" width="32.7109375" style="809" customWidth="1"/>
    <col min="774" max="1024" width="9.140625" style="809"/>
    <col min="1025" max="1025" width="27.28515625" style="809" customWidth="1"/>
    <col min="1026" max="1026" width="72.5703125" style="809" customWidth="1"/>
    <col min="1027" max="1027" width="27.42578125" style="809" customWidth="1"/>
    <col min="1028" max="1028" width="32.140625" style="809" customWidth="1"/>
    <col min="1029" max="1029" width="32.7109375" style="809" customWidth="1"/>
    <col min="1030" max="1280" width="9.140625" style="809"/>
    <col min="1281" max="1281" width="27.28515625" style="809" customWidth="1"/>
    <col min="1282" max="1282" width="72.5703125" style="809" customWidth="1"/>
    <col min="1283" max="1283" width="27.42578125" style="809" customWidth="1"/>
    <col min="1284" max="1284" width="32.140625" style="809" customWidth="1"/>
    <col min="1285" max="1285" width="32.7109375" style="809" customWidth="1"/>
    <col min="1286" max="1536" width="9.140625" style="809"/>
    <col min="1537" max="1537" width="27.28515625" style="809" customWidth="1"/>
    <col min="1538" max="1538" width="72.5703125" style="809" customWidth="1"/>
    <col min="1539" max="1539" width="27.42578125" style="809" customWidth="1"/>
    <col min="1540" max="1540" width="32.140625" style="809" customWidth="1"/>
    <col min="1541" max="1541" width="32.7109375" style="809" customWidth="1"/>
    <col min="1542" max="1792" width="9.140625" style="809"/>
    <col min="1793" max="1793" width="27.28515625" style="809" customWidth="1"/>
    <col min="1794" max="1794" width="72.5703125" style="809" customWidth="1"/>
    <col min="1795" max="1795" width="27.42578125" style="809" customWidth="1"/>
    <col min="1796" max="1796" width="32.140625" style="809" customWidth="1"/>
    <col min="1797" max="1797" width="32.7109375" style="809" customWidth="1"/>
    <col min="1798" max="2048" width="9.140625" style="809"/>
    <col min="2049" max="2049" width="27.28515625" style="809" customWidth="1"/>
    <col min="2050" max="2050" width="72.5703125" style="809" customWidth="1"/>
    <col min="2051" max="2051" width="27.42578125" style="809" customWidth="1"/>
    <col min="2052" max="2052" width="32.140625" style="809" customWidth="1"/>
    <col min="2053" max="2053" width="32.7109375" style="809" customWidth="1"/>
    <col min="2054" max="2304" width="9.140625" style="809"/>
    <col min="2305" max="2305" width="27.28515625" style="809" customWidth="1"/>
    <col min="2306" max="2306" width="72.5703125" style="809" customWidth="1"/>
    <col min="2307" max="2307" width="27.42578125" style="809" customWidth="1"/>
    <col min="2308" max="2308" width="32.140625" style="809" customWidth="1"/>
    <col min="2309" max="2309" width="32.7109375" style="809" customWidth="1"/>
    <col min="2310" max="2560" width="9.140625" style="809"/>
    <col min="2561" max="2561" width="27.28515625" style="809" customWidth="1"/>
    <col min="2562" max="2562" width="72.5703125" style="809" customWidth="1"/>
    <col min="2563" max="2563" width="27.42578125" style="809" customWidth="1"/>
    <col min="2564" max="2564" width="32.140625" style="809" customWidth="1"/>
    <col min="2565" max="2565" width="32.7109375" style="809" customWidth="1"/>
    <col min="2566" max="2816" width="9.140625" style="809"/>
    <col min="2817" max="2817" width="27.28515625" style="809" customWidth="1"/>
    <col min="2818" max="2818" width="72.5703125" style="809" customWidth="1"/>
    <col min="2819" max="2819" width="27.42578125" style="809" customWidth="1"/>
    <col min="2820" max="2820" width="32.140625" style="809" customWidth="1"/>
    <col min="2821" max="2821" width="32.7109375" style="809" customWidth="1"/>
    <col min="2822" max="3072" width="9.140625" style="809"/>
    <col min="3073" max="3073" width="27.28515625" style="809" customWidth="1"/>
    <col min="3074" max="3074" width="72.5703125" style="809" customWidth="1"/>
    <col min="3075" max="3075" width="27.42578125" style="809" customWidth="1"/>
    <col min="3076" max="3076" width="32.140625" style="809" customWidth="1"/>
    <col min="3077" max="3077" width="32.7109375" style="809" customWidth="1"/>
    <col min="3078" max="3328" width="9.140625" style="809"/>
    <col min="3329" max="3329" width="27.28515625" style="809" customWidth="1"/>
    <col min="3330" max="3330" width="72.5703125" style="809" customWidth="1"/>
    <col min="3331" max="3331" width="27.42578125" style="809" customWidth="1"/>
    <col min="3332" max="3332" width="32.140625" style="809" customWidth="1"/>
    <col min="3333" max="3333" width="32.7109375" style="809" customWidth="1"/>
    <col min="3334" max="3584" width="9.140625" style="809"/>
    <col min="3585" max="3585" width="27.28515625" style="809" customWidth="1"/>
    <col min="3586" max="3586" width="72.5703125" style="809" customWidth="1"/>
    <col min="3587" max="3587" width="27.42578125" style="809" customWidth="1"/>
    <col min="3588" max="3588" width="32.140625" style="809" customWidth="1"/>
    <col min="3589" max="3589" width="32.7109375" style="809" customWidth="1"/>
    <col min="3590" max="3840" width="9.140625" style="809"/>
    <col min="3841" max="3841" width="27.28515625" style="809" customWidth="1"/>
    <col min="3842" max="3842" width="72.5703125" style="809" customWidth="1"/>
    <col min="3843" max="3843" width="27.42578125" style="809" customWidth="1"/>
    <col min="3844" max="3844" width="32.140625" style="809" customWidth="1"/>
    <col min="3845" max="3845" width="32.7109375" style="809" customWidth="1"/>
    <col min="3846" max="4096" width="9.140625" style="809"/>
    <col min="4097" max="4097" width="27.28515625" style="809" customWidth="1"/>
    <col min="4098" max="4098" width="72.5703125" style="809" customWidth="1"/>
    <col min="4099" max="4099" width="27.42578125" style="809" customWidth="1"/>
    <col min="4100" max="4100" width="32.140625" style="809" customWidth="1"/>
    <col min="4101" max="4101" width="32.7109375" style="809" customWidth="1"/>
    <col min="4102" max="4352" width="9.140625" style="809"/>
    <col min="4353" max="4353" width="27.28515625" style="809" customWidth="1"/>
    <col min="4354" max="4354" width="72.5703125" style="809" customWidth="1"/>
    <col min="4355" max="4355" width="27.42578125" style="809" customWidth="1"/>
    <col min="4356" max="4356" width="32.140625" style="809" customWidth="1"/>
    <col min="4357" max="4357" width="32.7109375" style="809" customWidth="1"/>
    <col min="4358" max="4608" width="9.140625" style="809"/>
    <col min="4609" max="4609" width="27.28515625" style="809" customWidth="1"/>
    <col min="4610" max="4610" width="72.5703125" style="809" customWidth="1"/>
    <col min="4611" max="4611" width="27.42578125" style="809" customWidth="1"/>
    <col min="4612" max="4612" width="32.140625" style="809" customWidth="1"/>
    <col min="4613" max="4613" width="32.7109375" style="809" customWidth="1"/>
    <col min="4614" max="4864" width="9.140625" style="809"/>
    <col min="4865" max="4865" width="27.28515625" style="809" customWidth="1"/>
    <col min="4866" max="4866" width="72.5703125" style="809" customWidth="1"/>
    <col min="4867" max="4867" width="27.42578125" style="809" customWidth="1"/>
    <col min="4868" max="4868" width="32.140625" style="809" customWidth="1"/>
    <col min="4869" max="4869" width="32.7109375" style="809" customWidth="1"/>
    <col min="4870" max="5120" width="9.140625" style="809"/>
    <col min="5121" max="5121" width="27.28515625" style="809" customWidth="1"/>
    <col min="5122" max="5122" width="72.5703125" style="809" customWidth="1"/>
    <col min="5123" max="5123" width="27.42578125" style="809" customWidth="1"/>
    <col min="5124" max="5124" width="32.140625" style="809" customWidth="1"/>
    <col min="5125" max="5125" width="32.7109375" style="809" customWidth="1"/>
    <col min="5126" max="5376" width="9.140625" style="809"/>
    <col min="5377" max="5377" width="27.28515625" style="809" customWidth="1"/>
    <col min="5378" max="5378" width="72.5703125" style="809" customWidth="1"/>
    <col min="5379" max="5379" width="27.42578125" style="809" customWidth="1"/>
    <col min="5380" max="5380" width="32.140625" style="809" customWidth="1"/>
    <col min="5381" max="5381" width="32.7109375" style="809" customWidth="1"/>
    <col min="5382" max="5632" width="9.140625" style="809"/>
    <col min="5633" max="5633" width="27.28515625" style="809" customWidth="1"/>
    <col min="5634" max="5634" width="72.5703125" style="809" customWidth="1"/>
    <col min="5635" max="5635" width="27.42578125" style="809" customWidth="1"/>
    <col min="5636" max="5636" width="32.140625" style="809" customWidth="1"/>
    <col min="5637" max="5637" width="32.7109375" style="809" customWidth="1"/>
    <col min="5638" max="5888" width="9.140625" style="809"/>
    <col min="5889" max="5889" width="27.28515625" style="809" customWidth="1"/>
    <col min="5890" max="5890" width="72.5703125" style="809" customWidth="1"/>
    <col min="5891" max="5891" width="27.42578125" style="809" customWidth="1"/>
    <col min="5892" max="5892" width="32.140625" style="809" customWidth="1"/>
    <col min="5893" max="5893" width="32.7109375" style="809" customWidth="1"/>
    <col min="5894" max="6144" width="9.140625" style="809"/>
    <col min="6145" max="6145" width="27.28515625" style="809" customWidth="1"/>
    <col min="6146" max="6146" width="72.5703125" style="809" customWidth="1"/>
    <col min="6147" max="6147" width="27.42578125" style="809" customWidth="1"/>
    <col min="6148" max="6148" width="32.140625" style="809" customWidth="1"/>
    <col min="6149" max="6149" width="32.7109375" style="809" customWidth="1"/>
    <col min="6150" max="6400" width="9.140625" style="809"/>
    <col min="6401" max="6401" width="27.28515625" style="809" customWidth="1"/>
    <col min="6402" max="6402" width="72.5703125" style="809" customWidth="1"/>
    <col min="6403" max="6403" width="27.42578125" style="809" customWidth="1"/>
    <col min="6404" max="6404" width="32.140625" style="809" customWidth="1"/>
    <col min="6405" max="6405" width="32.7109375" style="809" customWidth="1"/>
    <col min="6406" max="6656" width="9.140625" style="809"/>
    <col min="6657" max="6657" width="27.28515625" style="809" customWidth="1"/>
    <col min="6658" max="6658" width="72.5703125" style="809" customWidth="1"/>
    <col min="6659" max="6659" width="27.42578125" style="809" customWidth="1"/>
    <col min="6660" max="6660" width="32.140625" style="809" customWidth="1"/>
    <col min="6661" max="6661" width="32.7109375" style="809" customWidth="1"/>
    <col min="6662" max="6912" width="9.140625" style="809"/>
    <col min="6913" max="6913" width="27.28515625" style="809" customWidth="1"/>
    <col min="6914" max="6914" width="72.5703125" style="809" customWidth="1"/>
    <col min="6915" max="6915" width="27.42578125" style="809" customWidth="1"/>
    <col min="6916" max="6916" width="32.140625" style="809" customWidth="1"/>
    <col min="6917" max="6917" width="32.7109375" style="809" customWidth="1"/>
    <col min="6918" max="7168" width="9.140625" style="809"/>
    <col min="7169" max="7169" width="27.28515625" style="809" customWidth="1"/>
    <col min="7170" max="7170" width="72.5703125" style="809" customWidth="1"/>
    <col min="7171" max="7171" width="27.42578125" style="809" customWidth="1"/>
    <col min="7172" max="7172" width="32.140625" style="809" customWidth="1"/>
    <col min="7173" max="7173" width="32.7109375" style="809" customWidth="1"/>
    <col min="7174" max="7424" width="9.140625" style="809"/>
    <col min="7425" max="7425" width="27.28515625" style="809" customWidth="1"/>
    <col min="7426" max="7426" width="72.5703125" style="809" customWidth="1"/>
    <col min="7427" max="7427" width="27.42578125" style="809" customWidth="1"/>
    <col min="7428" max="7428" width="32.140625" style="809" customWidth="1"/>
    <col min="7429" max="7429" width="32.7109375" style="809" customWidth="1"/>
    <col min="7430" max="7680" width="9.140625" style="809"/>
    <col min="7681" max="7681" width="27.28515625" style="809" customWidth="1"/>
    <col min="7682" max="7682" width="72.5703125" style="809" customWidth="1"/>
    <col min="7683" max="7683" width="27.42578125" style="809" customWidth="1"/>
    <col min="7684" max="7684" width="32.140625" style="809" customWidth="1"/>
    <col min="7685" max="7685" width="32.7109375" style="809" customWidth="1"/>
    <col min="7686" max="7936" width="9.140625" style="809"/>
    <col min="7937" max="7937" width="27.28515625" style="809" customWidth="1"/>
    <col min="7938" max="7938" width="72.5703125" style="809" customWidth="1"/>
    <col min="7939" max="7939" width="27.42578125" style="809" customWidth="1"/>
    <col min="7940" max="7940" width="32.140625" style="809" customWidth="1"/>
    <col min="7941" max="7941" width="32.7109375" style="809" customWidth="1"/>
    <col min="7942" max="8192" width="9.140625" style="809"/>
    <col min="8193" max="8193" width="27.28515625" style="809" customWidth="1"/>
    <col min="8194" max="8194" width="72.5703125" style="809" customWidth="1"/>
    <col min="8195" max="8195" width="27.42578125" style="809" customWidth="1"/>
    <col min="8196" max="8196" width="32.140625" style="809" customWidth="1"/>
    <col min="8197" max="8197" width="32.7109375" style="809" customWidth="1"/>
    <col min="8198" max="8448" width="9.140625" style="809"/>
    <col min="8449" max="8449" width="27.28515625" style="809" customWidth="1"/>
    <col min="8450" max="8450" width="72.5703125" style="809" customWidth="1"/>
    <col min="8451" max="8451" width="27.42578125" style="809" customWidth="1"/>
    <col min="8452" max="8452" width="32.140625" style="809" customWidth="1"/>
    <col min="8453" max="8453" width="32.7109375" style="809" customWidth="1"/>
    <col min="8454" max="8704" width="9.140625" style="809"/>
    <col min="8705" max="8705" width="27.28515625" style="809" customWidth="1"/>
    <col min="8706" max="8706" width="72.5703125" style="809" customWidth="1"/>
    <col min="8707" max="8707" width="27.42578125" style="809" customWidth="1"/>
    <col min="8708" max="8708" width="32.140625" style="809" customWidth="1"/>
    <col min="8709" max="8709" width="32.7109375" style="809" customWidth="1"/>
    <col min="8710" max="8960" width="9.140625" style="809"/>
    <col min="8961" max="8961" width="27.28515625" style="809" customWidth="1"/>
    <col min="8962" max="8962" width="72.5703125" style="809" customWidth="1"/>
    <col min="8963" max="8963" width="27.42578125" style="809" customWidth="1"/>
    <col min="8964" max="8964" width="32.140625" style="809" customWidth="1"/>
    <col min="8965" max="8965" width="32.7109375" style="809" customWidth="1"/>
    <col min="8966" max="9216" width="9.140625" style="809"/>
    <col min="9217" max="9217" width="27.28515625" style="809" customWidth="1"/>
    <col min="9218" max="9218" width="72.5703125" style="809" customWidth="1"/>
    <col min="9219" max="9219" width="27.42578125" style="809" customWidth="1"/>
    <col min="9220" max="9220" width="32.140625" style="809" customWidth="1"/>
    <col min="9221" max="9221" width="32.7109375" style="809" customWidth="1"/>
    <col min="9222" max="9472" width="9.140625" style="809"/>
    <col min="9473" max="9473" width="27.28515625" style="809" customWidth="1"/>
    <col min="9474" max="9474" width="72.5703125" style="809" customWidth="1"/>
    <col min="9475" max="9475" width="27.42578125" style="809" customWidth="1"/>
    <col min="9476" max="9476" width="32.140625" style="809" customWidth="1"/>
    <col min="9477" max="9477" width="32.7109375" style="809" customWidth="1"/>
    <col min="9478" max="9728" width="9.140625" style="809"/>
    <col min="9729" max="9729" width="27.28515625" style="809" customWidth="1"/>
    <col min="9730" max="9730" width="72.5703125" style="809" customWidth="1"/>
    <col min="9731" max="9731" width="27.42578125" style="809" customWidth="1"/>
    <col min="9732" max="9732" width="32.140625" style="809" customWidth="1"/>
    <col min="9733" max="9733" width="32.7109375" style="809" customWidth="1"/>
    <col min="9734" max="9984" width="9.140625" style="809"/>
    <col min="9985" max="9985" width="27.28515625" style="809" customWidth="1"/>
    <col min="9986" max="9986" width="72.5703125" style="809" customWidth="1"/>
    <col min="9987" max="9987" width="27.42578125" style="809" customWidth="1"/>
    <col min="9988" max="9988" width="32.140625" style="809" customWidth="1"/>
    <col min="9989" max="9989" width="32.7109375" style="809" customWidth="1"/>
    <col min="9990" max="10240" width="9.140625" style="809"/>
    <col min="10241" max="10241" width="27.28515625" style="809" customWidth="1"/>
    <col min="10242" max="10242" width="72.5703125" style="809" customWidth="1"/>
    <col min="10243" max="10243" width="27.42578125" style="809" customWidth="1"/>
    <col min="10244" max="10244" width="32.140625" style="809" customWidth="1"/>
    <col min="10245" max="10245" width="32.7109375" style="809" customWidth="1"/>
    <col min="10246" max="10496" width="9.140625" style="809"/>
    <col min="10497" max="10497" width="27.28515625" style="809" customWidth="1"/>
    <col min="10498" max="10498" width="72.5703125" style="809" customWidth="1"/>
    <col min="10499" max="10499" width="27.42578125" style="809" customWidth="1"/>
    <col min="10500" max="10500" width="32.140625" style="809" customWidth="1"/>
    <col min="10501" max="10501" width="32.7109375" style="809" customWidth="1"/>
    <col min="10502" max="10752" width="9.140625" style="809"/>
    <col min="10753" max="10753" width="27.28515625" style="809" customWidth="1"/>
    <col min="10754" max="10754" width="72.5703125" style="809" customWidth="1"/>
    <col min="10755" max="10755" width="27.42578125" style="809" customWidth="1"/>
    <col min="10756" max="10756" width="32.140625" style="809" customWidth="1"/>
    <col min="10757" max="10757" width="32.7109375" style="809" customWidth="1"/>
    <col min="10758" max="11008" width="9.140625" style="809"/>
    <col min="11009" max="11009" width="27.28515625" style="809" customWidth="1"/>
    <col min="11010" max="11010" width="72.5703125" style="809" customWidth="1"/>
    <col min="11011" max="11011" width="27.42578125" style="809" customWidth="1"/>
    <col min="11012" max="11012" width="32.140625" style="809" customWidth="1"/>
    <col min="11013" max="11013" width="32.7109375" style="809" customWidth="1"/>
    <col min="11014" max="11264" width="9.140625" style="809"/>
    <col min="11265" max="11265" width="27.28515625" style="809" customWidth="1"/>
    <col min="11266" max="11266" width="72.5703125" style="809" customWidth="1"/>
    <col min="11267" max="11267" width="27.42578125" style="809" customWidth="1"/>
    <col min="11268" max="11268" width="32.140625" style="809" customWidth="1"/>
    <col min="11269" max="11269" width="32.7109375" style="809" customWidth="1"/>
    <col min="11270" max="11520" width="9.140625" style="809"/>
    <col min="11521" max="11521" width="27.28515625" style="809" customWidth="1"/>
    <col min="11522" max="11522" width="72.5703125" style="809" customWidth="1"/>
    <col min="11523" max="11523" width="27.42578125" style="809" customWidth="1"/>
    <col min="11524" max="11524" width="32.140625" style="809" customWidth="1"/>
    <col min="11525" max="11525" width="32.7109375" style="809" customWidth="1"/>
    <col min="11526" max="11776" width="9.140625" style="809"/>
    <col min="11777" max="11777" width="27.28515625" style="809" customWidth="1"/>
    <col min="11778" max="11778" width="72.5703125" style="809" customWidth="1"/>
    <col min="11779" max="11779" width="27.42578125" style="809" customWidth="1"/>
    <col min="11780" max="11780" width="32.140625" style="809" customWidth="1"/>
    <col min="11781" max="11781" width="32.7109375" style="809" customWidth="1"/>
    <col min="11782" max="12032" width="9.140625" style="809"/>
    <col min="12033" max="12033" width="27.28515625" style="809" customWidth="1"/>
    <col min="12034" max="12034" width="72.5703125" style="809" customWidth="1"/>
    <col min="12035" max="12035" width="27.42578125" style="809" customWidth="1"/>
    <col min="12036" max="12036" width="32.140625" style="809" customWidth="1"/>
    <col min="12037" max="12037" width="32.7109375" style="809" customWidth="1"/>
    <col min="12038" max="12288" width="9.140625" style="809"/>
    <col min="12289" max="12289" width="27.28515625" style="809" customWidth="1"/>
    <col min="12290" max="12290" width="72.5703125" style="809" customWidth="1"/>
    <col min="12291" max="12291" width="27.42578125" style="809" customWidth="1"/>
    <col min="12292" max="12292" width="32.140625" style="809" customWidth="1"/>
    <col min="12293" max="12293" width="32.7109375" style="809" customWidth="1"/>
    <col min="12294" max="12544" width="9.140625" style="809"/>
    <col min="12545" max="12545" width="27.28515625" style="809" customWidth="1"/>
    <col min="12546" max="12546" width="72.5703125" style="809" customWidth="1"/>
    <col min="12547" max="12547" width="27.42578125" style="809" customWidth="1"/>
    <col min="12548" max="12548" width="32.140625" style="809" customWidth="1"/>
    <col min="12549" max="12549" width="32.7109375" style="809" customWidth="1"/>
    <col min="12550" max="12800" width="9.140625" style="809"/>
    <col min="12801" max="12801" width="27.28515625" style="809" customWidth="1"/>
    <col min="12802" max="12802" width="72.5703125" style="809" customWidth="1"/>
    <col min="12803" max="12803" width="27.42578125" style="809" customWidth="1"/>
    <col min="12804" max="12804" width="32.140625" style="809" customWidth="1"/>
    <col min="12805" max="12805" width="32.7109375" style="809" customWidth="1"/>
    <col min="12806" max="13056" width="9.140625" style="809"/>
    <col min="13057" max="13057" width="27.28515625" style="809" customWidth="1"/>
    <col min="13058" max="13058" width="72.5703125" style="809" customWidth="1"/>
    <col min="13059" max="13059" width="27.42578125" style="809" customWidth="1"/>
    <col min="13060" max="13060" width="32.140625" style="809" customWidth="1"/>
    <col min="13061" max="13061" width="32.7109375" style="809" customWidth="1"/>
    <col min="13062" max="13312" width="9.140625" style="809"/>
    <col min="13313" max="13313" width="27.28515625" style="809" customWidth="1"/>
    <col min="13314" max="13314" width="72.5703125" style="809" customWidth="1"/>
    <col min="13315" max="13315" width="27.42578125" style="809" customWidth="1"/>
    <col min="13316" max="13316" width="32.140625" style="809" customWidth="1"/>
    <col min="13317" max="13317" width="32.7109375" style="809" customWidth="1"/>
    <col min="13318" max="13568" width="9.140625" style="809"/>
    <col min="13569" max="13569" width="27.28515625" style="809" customWidth="1"/>
    <col min="13570" max="13570" width="72.5703125" style="809" customWidth="1"/>
    <col min="13571" max="13571" width="27.42578125" style="809" customWidth="1"/>
    <col min="13572" max="13572" width="32.140625" style="809" customWidth="1"/>
    <col min="13573" max="13573" width="32.7109375" style="809" customWidth="1"/>
    <col min="13574" max="13824" width="9.140625" style="809"/>
    <col min="13825" max="13825" width="27.28515625" style="809" customWidth="1"/>
    <col min="13826" max="13826" width="72.5703125" style="809" customWidth="1"/>
    <col min="13827" max="13827" width="27.42578125" style="809" customWidth="1"/>
    <col min="13828" max="13828" width="32.140625" style="809" customWidth="1"/>
    <col min="13829" max="13829" width="32.7109375" style="809" customWidth="1"/>
    <col min="13830" max="14080" width="9.140625" style="809"/>
    <col min="14081" max="14081" width="27.28515625" style="809" customWidth="1"/>
    <col min="14082" max="14082" width="72.5703125" style="809" customWidth="1"/>
    <col min="14083" max="14083" width="27.42578125" style="809" customWidth="1"/>
    <col min="14084" max="14084" width="32.140625" style="809" customWidth="1"/>
    <col min="14085" max="14085" width="32.7109375" style="809" customWidth="1"/>
    <col min="14086" max="14336" width="9.140625" style="809"/>
    <col min="14337" max="14337" width="27.28515625" style="809" customWidth="1"/>
    <col min="14338" max="14338" width="72.5703125" style="809" customWidth="1"/>
    <col min="14339" max="14339" width="27.42578125" style="809" customWidth="1"/>
    <col min="14340" max="14340" width="32.140625" style="809" customWidth="1"/>
    <col min="14341" max="14341" width="32.7109375" style="809" customWidth="1"/>
    <col min="14342" max="14592" width="9.140625" style="809"/>
    <col min="14593" max="14593" width="27.28515625" style="809" customWidth="1"/>
    <col min="14594" max="14594" width="72.5703125" style="809" customWidth="1"/>
    <col min="14595" max="14595" width="27.42578125" style="809" customWidth="1"/>
    <col min="14596" max="14596" width="32.140625" style="809" customWidth="1"/>
    <col min="14597" max="14597" width="32.7109375" style="809" customWidth="1"/>
    <col min="14598" max="14848" width="9.140625" style="809"/>
    <col min="14849" max="14849" width="27.28515625" style="809" customWidth="1"/>
    <col min="14850" max="14850" width="72.5703125" style="809" customWidth="1"/>
    <col min="14851" max="14851" width="27.42578125" style="809" customWidth="1"/>
    <col min="14852" max="14852" width="32.140625" style="809" customWidth="1"/>
    <col min="14853" max="14853" width="32.7109375" style="809" customWidth="1"/>
    <col min="14854" max="15104" width="9.140625" style="809"/>
    <col min="15105" max="15105" width="27.28515625" style="809" customWidth="1"/>
    <col min="15106" max="15106" width="72.5703125" style="809" customWidth="1"/>
    <col min="15107" max="15107" width="27.42578125" style="809" customWidth="1"/>
    <col min="15108" max="15108" width="32.140625" style="809" customWidth="1"/>
    <col min="15109" max="15109" width="32.7109375" style="809" customWidth="1"/>
    <col min="15110" max="15360" width="9.140625" style="809"/>
    <col min="15361" max="15361" width="27.28515625" style="809" customWidth="1"/>
    <col min="15362" max="15362" width="72.5703125" style="809" customWidth="1"/>
    <col min="15363" max="15363" width="27.42578125" style="809" customWidth="1"/>
    <col min="15364" max="15364" width="32.140625" style="809" customWidth="1"/>
    <col min="15365" max="15365" width="32.7109375" style="809" customWidth="1"/>
    <col min="15366" max="15616" width="9.140625" style="809"/>
    <col min="15617" max="15617" width="27.28515625" style="809" customWidth="1"/>
    <col min="15618" max="15618" width="72.5703125" style="809" customWidth="1"/>
    <col min="15619" max="15619" width="27.42578125" style="809" customWidth="1"/>
    <col min="15620" max="15620" width="32.140625" style="809" customWidth="1"/>
    <col min="15621" max="15621" width="32.7109375" style="809" customWidth="1"/>
    <col min="15622" max="15872" width="9.140625" style="809"/>
    <col min="15873" max="15873" width="27.28515625" style="809" customWidth="1"/>
    <col min="15874" max="15874" width="72.5703125" style="809" customWidth="1"/>
    <col min="15875" max="15875" width="27.42578125" style="809" customWidth="1"/>
    <col min="15876" max="15876" width="32.140625" style="809" customWidth="1"/>
    <col min="15877" max="15877" width="32.7109375" style="809" customWidth="1"/>
    <col min="15878" max="16128" width="9.140625" style="809"/>
    <col min="16129" max="16129" width="27.28515625" style="809" customWidth="1"/>
    <col min="16130" max="16130" width="72.5703125" style="809" customWidth="1"/>
    <col min="16131" max="16131" width="27.42578125" style="809" customWidth="1"/>
    <col min="16132" max="16132" width="32.140625" style="809" customWidth="1"/>
    <col min="16133" max="16133" width="32.7109375" style="809" customWidth="1"/>
    <col min="16134" max="16379" width="9.140625" style="809"/>
    <col min="16380" max="16384" width="9.140625" style="809" customWidth="1"/>
  </cols>
  <sheetData>
    <row r="1" spans="1:10" ht="30" customHeight="1" x14ac:dyDescent="0.25">
      <c r="A1" s="807" t="s">
        <v>483</v>
      </c>
      <c r="B1" s="808"/>
      <c r="C1" s="808"/>
      <c r="D1" s="808"/>
      <c r="E1" s="808"/>
      <c r="F1" s="808"/>
      <c r="G1" s="808"/>
      <c r="H1" s="808"/>
      <c r="I1" s="808"/>
      <c r="J1" s="808"/>
    </row>
    <row r="2" spans="1:10" ht="27.75" customHeight="1" thickBot="1" x14ac:dyDescent="0.4">
      <c r="A2" s="810"/>
      <c r="I2" s="811"/>
      <c r="J2" s="811" t="s">
        <v>0</v>
      </c>
    </row>
    <row r="3" spans="1:10" ht="45" customHeight="1" thickBot="1" x14ac:dyDescent="0.3">
      <c r="A3" s="1154" t="s">
        <v>426</v>
      </c>
      <c r="B3" s="1154"/>
      <c r="C3" s="812" t="s">
        <v>427</v>
      </c>
      <c r="D3" s="813" t="s">
        <v>428</v>
      </c>
      <c r="E3" s="813" t="s">
        <v>429</v>
      </c>
      <c r="F3" s="813" t="s">
        <v>430</v>
      </c>
      <c r="G3" s="814" t="s">
        <v>431</v>
      </c>
      <c r="H3" s="814" t="s">
        <v>432</v>
      </c>
      <c r="I3" s="815" t="s">
        <v>433</v>
      </c>
      <c r="J3" s="815" t="s">
        <v>131</v>
      </c>
    </row>
    <row r="4" spans="1:10" ht="18" x14ac:dyDescent="0.25">
      <c r="A4" s="816"/>
      <c r="B4" s="1134" t="s">
        <v>434</v>
      </c>
      <c r="C4" s="817" t="s">
        <v>435</v>
      </c>
      <c r="D4" s="818">
        <v>0</v>
      </c>
      <c r="E4" s="819">
        <v>0</v>
      </c>
      <c r="F4" s="819">
        <f>'[16]Školství - ORJ 17'!P38</f>
        <v>1500</v>
      </c>
      <c r="G4" s="820">
        <v>0</v>
      </c>
      <c r="H4" s="819">
        <f>'[16]Školství - ORJ 17'!Q38</f>
        <v>83310</v>
      </c>
      <c r="I4" s="819">
        <f>SUM(D4:H4)</f>
        <v>84810</v>
      </c>
      <c r="J4" s="821">
        <f>SUM(D4:H4)</f>
        <v>84810</v>
      </c>
    </row>
    <row r="5" spans="1:10" s="824" customFormat="1" ht="18" x14ac:dyDescent="0.2">
      <c r="A5" s="822"/>
      <c r="B5" s="1135"/>
      <c r="C5" s="823" t="s">
        <v>436</v>
      </c>
      <c r="D5" s="819">
        <f>'[16]Školství - ORJ 52'!Q17</f>
        <v>21476</v>
      </c>
      <c r="E5" s="819">
        <v>0</v>
      </c>
      <c r="F5" s="819">
        <v>0</v>
      </c>
      <c r="G5" s="819">
        <v>0</v>
      </c>
      <c r="H5" s="819">
        <f>'[16]Školství - ORJ 52'!U17</f>
        <v>5264</v>
      </c>
      <c r="I5" s="819">
        <f t="shared" ref="I5:I6" si="0">SUM(D5:H5)</f>
        <v>26740</v>
      </c>
      <c r="J5" s="821">
        <f>SUM(D5:H5)</f>
        <v>26740</v>
      </c>
    </row>
    <row r="6" spans="1:10" s="824" customFormat="1" ht="18" x14ac:dyDescent="0.2">
      <c r="A6" s="822"/>
      <c r="B6" s="1135"/>
      <c r="C6" s="823" t="s">
        <v>437</v>
      </c>
      <c r="D6" s="819">
        <f>'[16]Školství - ORJ 59 '!Q10</f>
        <v>2250</v>
      </c>
      <c r="E6" s="819">
        <v>0</v>
      </c>
      <c r="F6" s="819">
        <v>0</v>
      </c>
      <c r="G6" s="819">
        <v>0</v>
      </c>
      <c r="H6" s="819">
        <f>'[16]Školství - ORJ 59 '!T10</f>
        <v>250</v>
      </c>
      <c r="I6" s="819">
        <f t="shared" si="0"/>
        <v>2500</v>
      </c>
      <c r="J6" s="821">
        <f>SUM(D6:H6)</f>
        <v>2500</v>
      </c>
    </row>
    <row r="7" spans="1:10" s="824" customFormat="1" ht="18.75" thickBot="1" x14ac:dyDescent="0.25">
      <c r="A7" s="822"/>
      <c r="B7" s="1135"/>
      <c r="C7" s="823" t="s">
        <v>438</v>
      </c>
      <c r="D7" s="819">
        <v>0</v>
      </c>
      <c r="E7" s="819">
        <f>'[16]Školství a v. správa - ORJ 64'!Q15</f>
        <v>649</v>
      </c>
      <c r="F7" s="819">
        <v>0</v>
      </c>
      <c r="G7" s="819">
        <v>0</v>
      </c>
      <c r="H7" s="819">
        <f>'[16]Školství a v. správa - ORJ 64'!T15</f>
        <v>3221</v>
      </c>
      <c r="I7" s="819">
        <f>SUM(D7:H7)</f>
        <v>3870</v>
      </c>
      <c r="J7" s="821">
        <f t="shared" ref="J7" si="1">SUM(D7:H7)</f>
        <v>3870</v>
      </c>
    </row>
    <row r="8" spans="1:10" ht="21" thickBot="1" x14ac:dyDescent="0.3">
      <c r="A8" s="1144" t="s">
        <v>439</v>
      </c>
      <c r="B8" s="1145"/>
      <c r="C8" s="1145"/>
      <c r="D8" s="825">
        <f t="shared" ref="D8:H8" si="2">SUM(D4:D7)</f>
        <v>23726</v>
      </c>
      <c r="E8" s="825">
        <f t="shared" si="2"/>
        <v>649</v>
      </c>
      <c r="F8" s="825">
        <f t="shared" si="2"/>
        <v>1500</v>
      </c>
      <c r="G8" s="826">
        <f t="shared" si="2"/>
        <v>0</v>
      </c>
      <c r="H8" s="827">
        <f t="shared" si="2"/>
        <v>92045</v>
      </c>
      <c r="I8" s="827">
        <f>SUM(I4:I7)</f>
        <v>117920</v>
      </c>
      <c r="J8" s="827">
        <f>SUM(J4:J7)</f>
        <v>117920</v>
      </c>
    </row>
    <row r="9" spans="1:10" ht="18" x14ac:dyDescent="0.25">
      <c r="A9" s="1140"/>
      <c r="B9" s="1134" t="s">
        <v>440</v>
      </c>
      <c r="C9" s="817" t="s">
        <v>435</v>
      </c>
      <c r="D9" s="820">
        <v>0</v>
      </c>
      <c r="E9" s="828">
        <v>0</v>
      </c>
      <c r="F9" s="828">
        <v>0</v>
      </c>
      <c r="G9" s="820">
        <v>0</v>
      </c>
      <c r="H9" s="828">
        <f>'[16]Sociální - ORJ 17'!Q30</f>
        <v>74390</v>
      </c>
      <c r="I9" s="828">
        <f t="shared" ref="I9:I12" si="3">SUM(D9:H9)</f>
        <v>74390</v>
      </c>
      <c r="J9" s="821">
        <f>SUM(D9:H9)</f>
        <v>74390</v>
      </c>
    </row>
    <row r="10" spans="1:10" s="824" customFormat="1" ht="18" x14ac:dyDescent="0.2">
      <c r="A10" s="1141"/>
      <c r="B10" s="1135"/>
      <c r="C10" s="823" t="s">
        <v>436</v>
      </c>
      <c r="D10" s="819">
        <f>'[16]Sociální - ORJ 52'!Q16</f>
        <v>34548.35</v>
      </c>
      <c r="E10" s="819">
        <v>0</v>
      </c>
      <c r="F10" s="819">
        <v>0</v>
      </c>
      <c r="G10" s="819">
        <v>0</v>
      </c>
      <c r="H10" s="819">
        <f>'[16]Sociální - ORJ 52'!U16</f>
        <v>25412</v>
      </c>
      <c r="I10" s="819">
        <f t="shared" si="3"/>
        <v>59960.35</v>
      </c>
      <c r="J10" s="821">
        <f>SUM(D10:H10)</f>
        <v>59960.35</v>
      </c>
    </row>
    <row r="11" spans="1:10" s="824" customFormat="1" ht="18" x14ac:dyDescent="0.2">
      <c r="A11" s="1141"/>
      <c r="B11" s="1135"/>
      <c r="C11" s="823" t="s">
        <v>441</v>
      </c>
      <c r="D11" s="819">
        <v>0</v>
      </c>
      <c r="E11" s="819">
        <v>0</v>
      </c>
      <c r="F11" s="819">
        <v>0</v>
      </c>
      <c r="G11" s="819">
        <v>0</v>
      </c>
      <c r="H11" s="819">
        <f>'[16]Sociální - ORJ 60'!T13</f>
        <v>4059</v>
      </c>
      <c r="I11" s="819">
        <f t="shared" si="3"/>
        <v>4059</v>
      </c>
      <c r="J11" s="821">
        <f>SUM(D11:H11)</f>
        <v>4059</v>
      </c>
    </row>
    <row r="12" spans="1:10" s="824" customFormat="1" ht="18.75" thickBot="1" x14ac:dyDescent="0.25">
      <c r="A12" s="1141"/>
      <c r="B12" s="1135"/>
      <c r="C12" s="823" t="s">
        <v>438</v>
      </c>
      <c r="D12" s="819">
        <v>0</v>
      </c>
      <c r="E12" s="819">
        <v>0</v>
      </c>
      <c r="F12" s="819">
        <v>0</v>
      </c>
      <c r="G12" s="819">
        <v>0</v>
      </c>
      <c r="H12" s="819">
        <f>'[16]Sociální - ORJ 64'!T14</f>
        <v>500</v>
      </c>
      <c r="I12" s="819">
        <f t="shared" si="3"/>
        <v>500</v>
      </c>
      <c r="J12" s="821">
        <f>SUM(D12:H12)</f>
        <v>500</v>
      </c>
    </row>
    <row r="13" spans="1:10" ht="21" thickBot="1" x14ac:dyDescent="0.3">
      <c r="A13" s="1144" t="s">
        <v>442</v>
      </c>
      <c r="B13" s="1145"/>
      <c r="C13" s="1145"/>
      <c r="D13" s="825">
        <f t="shared" ref="D13:J13" si="4">SUM(D9:D12)</f>
        <v>34548.35</v>
      </c>
      <c r="E13" s="829">
        <f t="shared" si="4"/>
        <v>0</v>
      </c>
      <c r="F13" s="829">
        <f t="shared" si="4"/>
        <v>0</v>
      </c>
      <c r="G13" s="826">
        <f t="shared" si="4"/>
        <v>0</v>
      </c>
      <c r="H13" s="830">
        <f t="shared" si="4"/>
        <v>104361</v>
      </c>
      <c r="I13" s="827">
        <f t="shared" si="4"/>
        <v>138909.35</v>
      </c>
      <c r="J13" s="827">
        <f t="shared" si="4"/>
        <v>138909.35</v>
      </c>
    </row>
    <row r="14" spans="1:10" ht="18" x14ac:dyDescent="0.25">
      <c r="A14" s="1140"/>
      <c r="B14" s="1134" t="s">
        <v>443</v>
      </c>
      <c r="C14" s="817" t="s">
        <v>444</v>
      </c>
      <c r="D14" s="831">
        <v>0</v>
      </c>
      <c r="E14" s="832">
        <v>0</v>
      </c>
      <c r="F14" s="832">
        <v>0</v>
      </c>
      <c r="G14" s="820">
        <v>0</v>
      </c>
      <c r="H14" s="828">
        <f>'[16]Doprava - ORJ 17'!Q34</f>
        <v>47744</v>
      </c>
      <c r="I14" s="828">
        <f t="shared" ref="I14:I17" si="5">SUM(D14:H14)</f>
        <v>47744</v>
      </c>
      <c r="J14" s="821">
        <f>SUM(D14:H14)</f>
        <v>47744</v>
      </c>
    </row>
    <row r="15" spans="1:10" s="824" customFormat="1" ht="18" x14ac:dyDescent="0.2">
      <c r="A15" s="1141"/>
      <c r="B15" s="1135"/>
      <c r="C15" s="823" t="s">
        <v>445</v>
      </c>
      <c r="D15" s="819">
        <f>'[16]Doprava - ORJ 50 '!Q23</f>
        <v>211129</v>
      </c>
      <c r="E15" s="819">
        <v>0</v>
      </c>
      <c r="F15" s="819">
        <v>0</v>
      </c>
      <c r="G15" s="819">
        <v>0</v>
      </c>
      <c r="H15" s="819">
        <f>'[16]Doprava - ORJ 50 '!U23</f>
        <v>146572</v>
      </c>
      <c r="I15" s="819">
        <f t="shared" si="5"/>
        <v>357701</v>
      </c>
      <c r="J15" s="821">
        <f>SUM(D15:H15)</f>
        <v>357701</v>
      </c>
    </row>
    <row r="16" spans="1:10" s="824" customFormat="1" ht="18" x14ac:dyDescent="0.2">
      <c r="A16" s="1141"/>
      <c r="B16" s="1135"/>
      <c r="C16" s="833" t="s">
        <v>446</v>
      </c>
      <c r="D16" s="819">
        <f>'[16]Doprava - ORJ 12-SSOK projekty'!Q14</f>
        <v>0</v>
      </c>
      <c r="E16" s="819">
        <v>0</v>
      </c>
      <c r="F16" s="819">
        <v>0</v>
      </c>
      <c r="G16" s="819">
        <v>0</v>
      </c>
      <c r="H16" s="819">
        <f>'[16]Doprava - ORJ 12-SSOK projekty'!T14</f>
        <v>40722</v>
      </c>
      <c r="I16" s="819">
        <f t="shared" si="5"/>
        <v>40722</v>
      </c>
      <c r="J16" s="821">
        <f>SUM(D16:H16)</f>
        <v>40722</v>
      </c>
    </row>
    <row r="17" spans="1:10" ht="18.75" thickBot="1" x14ac:dyDescent="0.3">
      <c r="A17" s="1142"/>
      <c r="B17" s="1143"/>
      <c r="C17" s="817" t="s">
        <v>447</v>
      </c>
      <c r="D17" s="834">
        <v>0</v>
      </c>
      <c r="E17" s="835">
        <v>0</v>
      </c>
      <c r="F17" s="836">
        <f>'[16]Doprava - ORJ 12 - SSOK -SFDI'!Q37</f>
        <v>45067</v>
      </c>
      <c r="G17" s="837">
        <v>0</v>
      </c>
      <c r="H17" s="835">
        <v>0</v>
      </c>
      <c r="I17" s="819">
        <f t="shared" si="5"/>
        <v>45067</v>
      </c>
      <c r="J17" s="821">
        <v>0</v>
      </c>
    </row>
    <row r="18" spans="1:10" ht="21" thickBot="1" x14ac:dyDescent="0.3">
      <c r="A18" s="1144" t="s">
        <v>448</v>
      </c>
      <c r="B18" s="1145"/>
      <c r="C18" s="1145"/>
      <c r="D18" s="830">
        <f t="shared" ref="D18:H18" si="6">SUM(D14:D17)</f>
        <v>211129</v>
      </c>
      <c r="E18" s="829">
        <f t="shared" si="6"/>
        <v>0</v>
      </c>
      <c r="F18" s="829">
        <f t="shared" si="6"/>
        <v>45067</v>
      </c>
      <c r="G18" s="830">
        <f t="shared" si="6"/>
        <v>0</v>
      </c>
      <c r="H18" s="830">
        <f t="shared" si="6"/>
        <v>235038</v>
      </c>
      <c r="I18" s="827">
        <f>SUM(I14:I17)</f>
        <v>491234</v>
      </c>
      <c r="J18" s="827">
        <f>SUM(J14:J17)</f>
        <v>446167</v>
      </c>
    </row>
    <row r="19" spans="1:10" ht="18" x14ac:dyDescent="0.25">
      <c r="A19" s="1155"/>
      <c r="B19" s="1134" t="s">
        <v>449</v>
      </c>
      <c r="C19" s="817" t="s">
        <v>435</v>
      </c>
      <c r="D19" s="831">
        <v>0</v>
      </c>
      <c r="E19" s="832">
        <v>0</v>
      </c>
      <c r="F19" s="832">
        <v>0</v>
      </c>
      <c r="G19" s="820">
        <v>0</v>
      </c>
      <c r="H19" s="828">
        <f>'[16]Kultura - ORJ 17 '!Q17</f>
        <v>75410</v>
      </c>
      <c r="I19" s="828">
        <f>SUM(D19:H19)</f>
        <v>75410</v>
      </c>
      <c r="J19" s="838">
        <f>SUM(D19:H19)</f>
        <v>75410</v>
      </c>
    </row>
    <row r="20" spans="1:10" s="824" customFormat="1" ht="18" x14ac:dyDescent="0.2">
      <c r="A20" s="1156"/>
      <c r="B20" s="1135"/>
      <c r="C20" s="839" t="s">
        <v>436</v>
      </c>
      <c r="D20" s="819">
        <f>'[16]Kultura - ORJ 52'!Q14</f>
        <v>23527</v>
      </c>
      <c r="E20" s="819">
        <v>0</v>
      </c>
      <c r="F20" s="819">
        <v>0</v>
      </c>
      <c r="G20" s="819">
        <v>0</v>
      </c>
      <c r="H20" s="819">
        <f>'[16]Kultura - ORJ 52'!T14</f>
        <v>7796</v>
      </c>
      <c r="I20" s="819">
        <f t="shared" ref="I20" si="7">SUM(D20:H20)</f>
        <v>31323</v>
      </c>
      <c r="J20" s="821">
        <f>SUM(D20:H20)</f>
        <v>31323</v>
      </c>
    </row>
    <row r="21" spans="1:10" s="824" customFormat="1" ht="18.75" thickBot="1" x14ac:dyDescent="0.25">
      <c r="A21" s="840"/>
      <c r="B21" s="1143"/>
      <c r="C21" s="823" t="s">
        <v>450</v>
      </c>
      <c r="D21" s="841">
        <v>0</v>
      </c>
      <c r="E21" s="842">
        <v>0</v>
      </c>
      <c r="F21" s="842">
        <v>0</v>
      </c>
      <c r="G21" s="842">
        <v>0</v>
      </c>
      <c r="H21" s="842">
        <f>'[16]Kultura - ORJ 19'!Q10</f>
        <v>600</v>
      </c>
      <c r="I21" s="819">
        <f>SUM(D21:H21)</f>
        <v>600</v>
      </c>
      <c r="J21" s="821">
        <f>SUM(E21:H21)</f>
        <v>600</v>
      </c>
    </row>
    <row r="22" spans="1:10" ht="21" thickBot="1" x14ac:dyDescent="0.3">
      <c r="A22" s="1153" t="s">
        <v>451</v>
      </c>
      <c r="B22" s="1145"/>
      <c r="C22" s="1145"/>
      <c r="D22" s="830">
        <f>SUM(D19:D21)</f>
        <v>23527</v>
      </c>
      <c r="E22" s="830">
        <f t="shared" ref="E22:H22" si="8">SUM(E19:E21)</f>
        <v>0</v>
      </c>
      <c r="F22" s="830">
        <f t="shared" si="8"/>
        <v>0</v>
      </c>
      <c r="G22" s="830">
        <f t="shared" si="8"/>
        <v>0</v>
      </c>
      <c r="H22" s="830">
        <f t="shared" si="8"/>
        <v>83806</v>
      </c>
      <c r="I22" s="827">
        <f>SUM(I19:I21)</f>
        <v>107333</v>
      </c>
      <c r="J22" s="827">
        <f>SUM(J19:J21)</f>
        <v>107333</v>
      </c>
    </row>
    <row r="23" spans="1:10" ht="18" x14ac:dyDescent="0.25">
      <c r="A23" s="1140"/>
      <c r="B23" s="1134" t="s">
        <v>452</v>
      </c>
      <c r="C23" s="843" t="s">
        <v>435</v>
      </c>
      <c r="D23" s="818">
        <v>0</v>
      </c>
      <c r="E23" s="828">
        <v>0</v>
      </c>
      <c r="F23" s="844">
        <v>0</v>
      </c>
      <c r="G23" s="819">
        <v>0</v>
      </c>
      <c r="H23" s="828">
        <f>'[16]Zdravotnictví - ORJ 17 '!Q23</f>
        <v>18491</v>
      </c>
      <c r="I23" s="845">
        <f>SUM(D23:H23)</f>
        <v>18491</v>
      </c>
      <c r="J23" s="846">
        <f>SUM(D23:H23)</f>
        <v>18491</v>
      </c>
    </row>
    <row r="24" spans="1:10" ht="18" x14ac:dyDescent="0.25">
      <c r="A24" s="1141"/>
      <c r="B24" s="1135"/>
      <c r="C24" s="817" t="s">
        <v>453</v>
      </c>
      <c r="D24" s="819">
        <v>0</v>
      </c>
      <c r="E24" s="844">
        <v>0</v>
      </c>
      <c r="F24" s="844">
        <v>0</v>
      </c>
      <c r="G24" s="819">
        <f>'[16]Zdravotnictví - SMN - ORJ 17 '!P8</f>
        <v>2000</v>
      </c>
      <c r="H24" s="835">
        <f>'[16]Zdravotnictví - SMN - ORJ 17 '!Q8</f>
        <v>9034</v>
      </c>
      <c r="I24" s="847">
        <f t="shared" ref="I24:I28" si="9">SUM(D24:H24)</f>
        <v>11034</v>
      </c>
      <c r="J24" s="848">
        <f>SUM(E24:H24)</f>
        <v>11034</v>
      </c>
    </row>
    <row r="25" spans="1:10" ht="18" x14ac:dyDescent="0.25">
      <c r="A25" s="1141"/>
      <c r="B25" s="1135"/>
      <c r="C25" s="817" t="s">
        <v>454</v>
      </c>
      <c r="D25" s="819">
        <v>0</v>
      </c>
      <c r="E25" s="835">
        <v>0</v>
      </c>
      <c r="F25" s="819">
        <v>0</v>
      </c>
      <c r="G25" s="819">
        <v>0</v>
      </c>
      <c r="H25" s="835">
        <f>'[16]Zdravotnictví - ORJ 19 -ZZS'!R13</f>
        <v>19204</v>
      </c>
      <c r="I25" s="847">
        <f t="shared" si="9"/>
        <v>19204</v>
      </c>
      <c r="J25" s="848">
        <f t="shared" ref="J25:J26" si="10">SUM(E25:H25)</f>
        <v>19204</v>
      </c>
    </row>
    <row r="26" spans="1:10" ht="18" x14ac:dyDescent="0.25">
      <c r="A26" s="1141"/>
      <c r="B26" s="1135"/>
      <c r="C26" s="817" t="s">
        <v>455</v>
      </c>
      <c r="D26" s="819">
        <v>0</v>
      </c>
      <c r="E26" s="835">
        <v>0</v>
      </c>
      <c r="F26" s="819">
        <v>0</v>
      </c>
      <c r="G26" s="819">
        <v>0</v>
      </c>
      <c r="H26" s="835">
        <f>'[16]Zdravotnictví - ORJ 19 - DC'!O12</f>
        <v>1017</v>
      </c>
      <c r="I26" s="847">
        <f t="shared" si="9"/>
        <v>1017</v>
      </c>
      <c r="J26" s="848">
        <f t="shared" si="10"/>
        <v>1017</v>
      </c>
    </row>
    <row r="27" spans="1:10" s="824" customFormat="1" ht="18" customHeight="1" x14ac:dyDescent="0.2">
      <c r="A27" s="1141"/>
      <c r="B27" s="1135"/>
      <c r="C27" s="833" t="s">
        <v>456</v>
      </c>
      <c r="D27" s="835">
        <f>'[16]Zdravotnictví - SMN - ORJ 52 '!Q14</f>
        <v>10000</v>
      </c>
      <c r="E27" s="835">
        <v>0</v>
      </c>
      <c r="F27" s="835">
        <v>0</v>
      </c>
      <c r="G27" s="835">
        <v>25536</v>
      </c>
      <c r="H27" s="835">
        <f>'[16]Zdravotnictví - SMN - ORJ 52 '!T14-G27</f>
        <v>99714</v>
      </c>
      <c r="I27" s="835">
        <f t="shared" ref="I27" si="11">SUM(D27:H27)</f>
        <v>135250</v>
      </c>
      <c r="J27" s="848">
        <f>SUM(D27:H27)</f>
        <v>135250</v>
      </c>
    </row>
    <row r="28" spans="1:10" s="824" customFormat="1" ht="18.75" thickBot="1" x14ac:dyDescent="0.25">
      <c r="A28" s="1142"/>
      <c r="B28" s="1143"/>
      <c r="C28" s="823" t="s">
        <v>450</v>
      </c>
      <c r="D28" s="835">
        <v>0</v>
      </c>
      <c r="E28" s="835">
        <v>0</v>
      </c>
      <c r="F28" s="835">
        <v>0</v>
      </c>
      <c r="G28" s="835">
        <v>0</v>
      </c>
      <c r="H28" s="835">
        <f>'[16]Zdravotnictví - ORJ 19 - nákupy'!Q16</f>
        <v>35086.5</v>
      </c>
      <c r="I28" s="835">
        <f t="shared" si="9"/>
        <v>35086.5</v>
      </c>
      <c r="J28" s="849">
        <f>SUM(E28:H28)</f>
        <v>35086.5</v>
      </c>
    </row>
    <row r="29" spans="1:10" ht="21" thickBot="1" x14ac:dyDescent="0.3">
      <c r="A29" s="1144" t="s">
        <v>457</v>
      </c>
      <c r="B29" s="1145"/>
      <c r="C29" s="1145"/>
      <c r="D29" s="825">
        <f t="shared" ref="D29:I29" si="12">SUM(D23:D28)</f>
        <v>10000</v>
      </c>
      <c r="E29" s="825">
        <f t="shared" si="12"/>
        <v>0</v>
      </c>
      <c r="F29" s="825">
        <f t="shared" si="12"/>
        <v>0</v>
      </c>
      <c r="G29" s="825">
        <f t="shared" si="12"/>
        <v>27536</v>
      </c>
      <c r="H29" s="825">
        <f t="shared" si="12"/>
        <v>182546.5</v>
      </c>
      <c r="I29" s="850">
        <f t="shared" si="12"/>
        <v>220082.5</v>
      </c>
      <c r="J29" s="851">
        <f>SUM(J23:J28)</f>
        <v>220082.5</v>
      </c>
    </row>
    <row r="30" spans="1:10" s="855" customFormat="1" ht="18.75" thickBot="1" x14ac:dyDescent="0.25">
      <c r="A30" s="852"/>
      <c r="B30" s="853" t="s">
        <v>458</v>
      </c>
      <c r="C30" s="854" t="s">
        <v>459</v>
      </c>
      <c r="D30" s="835">
        <v>0</v>
      </c>
      <c r="E30" s="835">
        <f>'[16]Cestovní ruch - ORJ 59'!R11</f>
        <v>2700</v>
      </c>
      <c r="F30" s="835">
        <v>0</v>
      </c>
      <c r="G30" s="835">
        <f>'[16]Cestovní ruch - ORJ 59'!R21</f>
        <v>0</v>
      </c>
      <c r="H30" s="835">
        <f>'[16]Cestovní ruch - ORJ 59'!T11</f>
        <v>1757</v>
      </c>
      <c r="I30" s="835">
        <f>SUM(D30:H30)</f>
        <v>4457</v>
      </c>
      <c r="J30" s="849">
        <f>SUM(D30:H30)</f>
        <v>4457</v>
      </c>
    </row>
    <row r="31" spans="1:10" s="824" customFormat="1" ht="20.100000000000001" customHeight="1" thickBot="1" x14ac:dyDescent="0.25">
      <c r="A31" s="1146" t="s">
        <v>460</v>
      </c>
      <c r="B31" s="1147"/>
      <c r="C31" s="1147"/>
      <c r="D31" s="856">
        <f t="shared" ref="D31:J31" si="13">SUM(D30:D30)</f>
        <v>0</v>
      </c>
      <c r="E31" s="856">
        <f t="shared" si="13"/>
        <v>2700</v>
      </c>
      <c r="F31" s="856">
        <f t="shared" si="13"/>
        <v>0</v>
      </c>
      <c r="G31" s="856">
        <f t="shared" si="13"/>
        <v>0</v>
      </c>
      <c r="H31" s="856">
        <f t="shared" si="13"/>
        <v>1757</v>
      </c>
      <c r="I31" s="856">
        <f t="shared" si="13"/>
        <v>4457</v>
      </c>
      <c r="J31" s="856">
        <f t="shared" si="13"/>
        <v>4457</v>
      </c>
    </row>
    <row r="32" spans="1:10" s="824" customFormat="1" ht="18.75" thickBot="1" x14ac:dyDescent="0.25">
      <c r="A32" s="857"/>
      <c r="B32" s="858" t="s">
        <v>461</v>
      </c>
      <c r="C32" s="859" t="s">
        <v>437</v>
      </c>
      <c r="D32" s="835">
        <v>0</v>
      </c>
      <c r="E32" s="835">
        <f>'[16]Životní prostředí - ORJ 59'!Q13</f>
        <v>4096</v>
      </c>
      <c r="F32" s="835">
        <v>0</v>
      </c>
      <c r="G32" s="835">
        <v>0</v>
      </c>
      <c r="H32" s="835">
        <f>'[16]Životní prostředí - ORJ 59'!T13</f>
        <v>4000</v>
      </c>
      <c r="I32" s="835">
        <f>SUM(D32:H32)</f>
        <v>8096</v>
      </c>
      <c r="J32" s="849">
        <f>SUM(D32:H32)</f>
        <v>8096</v>
      </c>
    </row>
    <row r="33" spans="1:10" s="824" customFormat="1" ht="21" thickBot="1" x14ac:dyDescent="0.25">
      <c r="A33" s="1146" t="s">
        <v>462</v>
      </c>
      <c r="B33" s="1147"/>
      <c r="C33" s="1147"/>
      <c r="D33" s="856">
        <f t="shared" ref="D33:J33" si="14">SUM(D32:D32)</f>
        <v>0</v>
      </c>
      <c r="E33" s="856">
        <f t="shared" si="14"/>
        <v>4096</v>
      </c>
      <c r="F33" s="856">
        <f t="shared" si="14"/>
        <v>0</v>
      </c>
      <c r="G33" s="856">
        <f t="shared" si="14"/>
        <v>0</v>
      </c>
      <c r="H33" s="856">
        <f t="shared" si="14"/>
        <v>4000</v>
      </c>
      <c r="I33" s="856">
        <f t="shared" si="14"/>
        <v>8096</v>
      </c>
      <c r="J33" s="856">
        <f t="shared" si="14"/>
        <v>8096</v>
      </c>
    </row>
    <row r="34" spans="1:10" s="824" customFormat="1" ht="18" x14ac:dyDescent="0.2">
      <c r="A34" s="860"/>
      <c r="B34" s="1148" t="s">
        <v>463</v>
      </c>
      <c r="C34" s="833" t="s">
        <v>437</v>
      </c>
      <c r="D34" s="835">
        <f>'[16]Úz. plánování - ORJ 59'!Q10</f>
        <v>34000</v>
      </c>
      <c r="E34" s="835">
        <v>0</v>
      </c>
      <c r="F34" s="835">
        <f>'[16]Úz. plánování - ORJ 59'!Q19</f>
        <v>0</v>
      </c>
      <c r="G34" s="835">
        <v>0</v>
      </c>
      <c r="H34" s="835">
        <f>'[16]Úz. plánování - ORJ 59'!T10</f>
        <v>6000</v>
      </c>
      <c r="I34" s="835">
        <f t="shared" ref="I34:I37" si="15">SUM(D34:H34)</f>
        <v>40000</v>
      </c>
      <c r="J34" s="849">
        <f>SUM(D34:H34)</f>
        <v>40000</v>
      </c>
    </row>
    <row r="35" spans="1:10" s="824" customFormat="1" ht="18" x14ac:dyDescent="0.2">
      <c r="A35" s="1151"/>
      <c r="B35" s="1149"/>
      <c r="C35" s="833" t="s">
        <v>464</v>
      </c>
      <c r="D35" s="835">
        <v>0</v>
      </c>
      <c r="E35" s="835">
        <f>'[16]Reg. rozvoj - ORJ 74'!Q65</f>
        <v>3707</v>
      </c>
      <c r="F35" s="835">
        <f>'[16]Životní prostředí - ORJ 59'!S26</f>
        <v>0</v>
      </c>
      <c r="G35" s="835">
        <f>'[16]Životní prostředí - ORJ 59'!R26</f>
        <v>0</v>
      </c>
      <c r="H35" s="835">
        <f>'[16]Reg. rozvoj - ORJ 74'!T65</f>
        <v>1946</v>
      </c>
      <c r="I35" s="835">
        <f t="shared" si="15"/>
        <v>5653</v>
      </c>
      <c r="J35" s="849">
        <f>SUM(D35:H35)</f>
        <v>5653</v>
      </c>
    </row>
    <row r="36" spans="1:10" s="824" customFormat="1" ht="18" x14ac:dyDescent="0.2">
      <c r="A36" s="1151"/>
      <c r="B36" s="1149"/>
      <c r="C36" s="833" t="s">
        <v>465</v>
      </c>
      <c r="D36" s="835">
        <v>0</v>
      </c>
      <c r="E36" s="835">
        <f>'[16]Rozv. lidských zdr. - ORJ 76'!Q26</f>
        <v>200</v>
      </c>
      <c r="F36" s="835">
        <f>'[16]Životní prostředí - ORJ 59'!S27</f>
        <v>0</v>
      </c>
      <c r="G36" s="835">
        <f>'[16]Životní prostředí - ORJ 59'!R27</f>
        <v>0</v>
      </c>
      <c r="H36" s="835">
        <f>'[16]Rozv. lidských zdr. - ORJ 76'!T26</f>
        <v>248</v>
      </c>
      <c r="I36" s="835">
        <f t="shared" si="15"/>
        <v>448</v>
      </c>
      <c r="J36" s="849">
        <f>SUM(D36:H36)</f>
        <v>448</v>
      </c>
    </row>
    <row r="37" spans="1:10" s="824" customFormat="1" ht="18.75" thickBot="1" x14ac:dyDescent="0.25">
      <c r="A37" s="1152"/>
      <c r="B37" s="1150"/>
      <c r="C37" s="823" t="s">
        <v>466</v>
      </c>
      <c r="D37" s="835">
        <v>0</v>
      </c>
      <c r="E37" s="835">
        <v>0</v>
      </c>
      <c r="F37" s="835">
        <f>'[16]Úz. plánování - ORJ 59'!Q20</f>
        <v>0</v>
      </c>
      <c r="G37" s="835">
        <v>0</v>
      </c>
      <c r="H37" s="835">
        <f>'[16]ORJ 30'!T11</f>
        <v>1650</v>
      </c>
      <c r="I37" s="835">
        <f t="shared" si="15"/>
        <v>1650</v>
      </c>
      <c r="J37" s="849">
        <f>SUM(D37:H37)</f>
        <v>1650</v>
      </c>
    </row>
    <row r="38" spans="1:10" s="824" customFormat="1" ht="28.15" customHeight="1" thickBot="1" x14ac:dyDescent="0.25">
      <c r="A38" s="1131" t="s">
        <v>467</v>
      </c>
      <c r="B38" s="1131"/>
      <c r="C38" s="1131"/>
      <c r="D38" s="856">
        <f>SUM(D34:D37)</f>
        <v>34000</v>
      </c>
      <c r="E38" s="856">
        <f>SUM(E34:E37)</f>
        <v>3907</v>
      </c>
      <c r="F38" s="856">
        <f t="shared" ref="F38:G38" si="16">SUM(F34:F37)</f>
        <v>0</v>
      </c>
      <c r="G38" s="856">
        <f t="shared" si="16"/>
        <v>0</v>
      </c>
      <c r="H38" s="856">
        <f>SUM(H34:H37)</f>
        <v>9844</v>
      </c>
      <c r="I38" s="856">
        <f>SUM(I34:I37)</f>
        <v>47751</v>
      </c>
      <c r="J38" s="856">
        <f>SUM(J34:J37)</f>
        <v>47751</v>
      </c>
    </row>
    <row r="39" spans="1:10" s="855" customFormat="1" ht="18" x14ac:dyDescent="0.2">
      <c r="A39" s="1132"/>
      <c r="B39" s="1134" t="s">
        <v>468</v>
      </c>
      <c r="C39" s="859" t="s">
        <v>469</v>
      </c>
      <c r="D39" s="835">
        <v>0</v>
      </c>
      <c r="E39" s="835">
        <v>0</v>
      </c>
      <c r="F39" s="835">
        <f>'[16]Životní prostředí - ORJ 59'!S25</f>
        <v>0</v>
      </c>
      <c r="G39" s="835">
        <f>'[16]Životní prostředí - ORJ 59'!R25</f>
        <v>0</v>
      </c>
      <c r="H39" s="835">
        <f>'[16]KÚ a zast. - ORJ 03'!O11</f>
        <v>650</v>
      </c>
      <c r="I39" s="835">
        <f t="shared" ref="I39:I40" si="17">SUM(D39:H39)</f>
        <v>650</v>
      </c>
      <c r="J39" s="849">
        <f>SUM(D39:H39)</f>
        <v>650</v>
      </c>
    </row>
    <row r="40" spans="1:10" s="855" customFormat="1" ht="18.75" thickBot="1" x14ac:dyDescent="0.25">
      <c r="A40" s="1133"/>
      <c r="B40" s="1135"/>
      <c r="C40" s="823" t="s">
        <v>470</v>
      </c>
      <c r="D40" s="835">
        <v>0</v>
      </c>
      <c r="E40" s="835">
        <v>0</v>
      </c>
      <c r="F40" s="835">
        <f>'[16]Životní prostředí - ORJ 59'!S27</f>
        <v>0</v>
      </c>
      <c r="G40" s="835">
        <f>'[16]Životní prostředí - ORJ 59'!R27</f>
        <v>0</v>
      </c>
      <c r="H40" s="835">
        <f>'[16]KÚ a zast. - ORJ 06'!O15</f>
        <v>2000</v>
      </c>
      <c r="I40" s="835">
        <f t="shared" si="17"/>
        <v>2000</v>
      </c>
      <c r="J40" s="849">
        <f>SUM(D40:H40)</f>
        <v>2000</v>
      </c>
    </row>
    <row r="41" spans="1:10" ht="21" thickBot="1" x14ac:dyDescent="0.3">
      <c r="A41" s="1136" t="s">
        <v>471</v>
      </c>
      <c r="B41" s="1137"/>
      <c r="C41" s="1137"/>
      <c r="D41" s="825">
        <f t="shared" ref="D41:J41" si="18">SUM(D39:D40)</f>
        <v>0</v>
      </c>
      <c r="E41" s="825">
        <f t="shared" si="18"/>
        <v>0</v>
      </c>
      <c r="F41" s="825">
        <f t="shared" si="18"/>
        <v>0</v>
      </c>
      <c r="G41" s="825">
        <f t="shared" si="18"/>
        <v>0</v>
      </c>
      <c r="H41" s="825">
        <f t="shared" si="18"/>
        <v>2650</v>
      </c>
      <c r="I41" s="850">
        <f t="shared" si="18"/>
        <v>2650</v>
      </c>
      <c r="J41" s="851">
        <f t="shared" si="18"/>
        <v>2650</v>
      </c>
    </row>
    <row r="42" spans="1:10" ht="24" thickBot="1" x14ac:dyDescent="0.3">
      <c r="A42" s="1129" t="s">
        <v>472</v>
      </c>
      <c r="B42" s="1138"/>
      <c r="C42" s="861"/>
      <c r="D42" s="862">
        <f t="shared" ref="D42:H42" si="19">D8+D13+D18+D22+D29+D31+D33+D38+D41</f>
        <v>336930.35</v>
      </c>
      <c r="E42" s="862">
        <f t="shared" si="19"/>
        <v>11352</v>
      </c>
      <c r="F42" s="862">
        <f t="shared" si="19"/>
        <v>46567</v>
      </c>
      <c r="G42" s="862">
        <f t="shared" si="19"/>
        <v>27536</v>
      </c>
      <c r="H42" s="862">
        <f t="shared" si="19"/>
        <v>716047.5</v>
      </c>
      <c r="I42" s="862">
        <f>I8+I13+I18+I22+I29+I31+I33+I38+I41</f>
        <v>1138432.8500000001</v>
      </c>
      <c r="J42" s="863">
        <f>J8+J13+J18+J22+J29+J31+J33+J38+J41</f>
        <v>1093365.8500000001</v>
      </c>
    </row>
    <row r="43" spans="1:10" ht="37.5" customHeight="1" x14ac:dyDescent="0.3">
      <c r="D43" s="1139">
        <f>D42+E42+G42+H42+F8</f>
        <v>1093365.8500000001</v>
      </c>
      <c r="E43" s="1139"/>
      <c r="F43" s="1139"/>
      <c r="G43" s="1139"/>
      <c r="H43" s="1139"/>
      <c r="I43" s="1139"/>
      <c r="J43" s="1139"/>
    </row>
    <row r="44" spans="1:10" ht="45" hidden="1" customHeight="1" thickBot="1" x14ac:dyDescent="0.3">
      <c r="A44" s="1123"/>
      <c r="B44" s="1124"/>
      <c r="C44" s="1125"/>
      <c r="D44" s="864" t="s">
        <v>428</v>
      </c>
      <c r="E44" s="865" t="s">
        <v>429</v>
      </c>
      <c r="F44" s="864" t="s">
        <v>430</v>
      </c>
      <c r="G44" s="864" t="s">
        <v>431</v>
      </c>
      <c r="H44" s="864" t="s">
        <v>432</v>
      </c>
      <c r="I44" s="866" t="s">
        <v>433</v>
      </c>
      <c r="J44" s="866" t="s">
        <v>433</v>
      </c>
    </row>
    <row r="45" spans="1:10" ht="24.95" hidden="1" customHeight="1" x14ac:dyDescent="0.25">
      <c r="A45" s="1126"/>
      <c r="B45" s="867" t="s">
        <v>473</v>
      </c>
      <c r="C45" s="868"/>
      <c r="D45" s="869"/>
      <c r="E45" s="870"/>
      <c r="F45" s="870"/>
      <c r="G45" s="869"/>
      <c r="H45" s="870"/>
      <c r="I45" s="870">
        <f>SUM(D45:H45)</f>
        <v>0</v>
      </c>
      <c r="J45" s="870">
        <f>SUM(E45:I45)</f>
        <v>0</v>
      </c>
    </row>
    <row r="46" spans="1:10" ht="24.95" hidden="1" customHeight="1" x14ac:dyDescent="0.25">
      <c r="A46" s="1127"/>
      <c r="B46" s="871" t="s">
        <v>474</v>
      </c>
      <c r="C46" s="872"/>
      <c r="D46" s="873"/>
      <c r="E46" s="874"/>
      <c r="F46" s="874"/>
      <c r="G46" s="875"/>
      <c r="H46" s="873"/>
      <c r="I46" s="873">
        <f t="shared" ref="I46:J50" si="20">SUM(D46:H46)</f>
        <v>0</v>
      </c>
      <c r="J46" s="873">
        <f t="shared" si="20"/>
        <v>0</v>
      </c>
    </row>
    <row r="47" spans="1:10" ht="24.95" hidden="1" customHeight="1" x14ac:dyDescent="0.25">
      <c r="A47" s="1127"/>
      <c r="B47" s="876" t="s">
        <v>475</v>
      </c>
      <c r="C47" s="877"/>
      <c r="D47" s="875"/>
      <c r="E47" s="878"/>
      <c r="F47" s="879"/>
      <c r="G47" s="875"/>
      <c r="H47" s="875"/>
      <c r="I47" s="878">
        <f t="shared" si="20"/>
        <v>0</v>
      </c>
      <c r="J47" s="878">
        <f t="shared" si="20"/>
        <v>0</v>
      </c>
    </row>
    <row r="48" spans="1:10" ht="24.95" hidden="1" customHeight="1" x14ac:dyDescent="0.25">
      <c r="A48" s="1127"/>
      <c r="B48" s="880" t="s">
        <v>476</v>
      </c>
      <c r="C48" s="877"/>
      <c r="D48" s="875"/>
      <c r="E48" s="878"/>
      <c r="F48" s="879"/>
      <c r="G48" s="881"/>
      <c r="H48" s="875"/>
      <c r="I48" s="878">
        <f t="shared" si="20"/>
        <v>0</v>
      </c>
      <c r="J48" s="878">
        <f t="shared" si="20"/>
        <v>0</v>
      </c>
    </row>
    <row r="49" spans="1:10" ht="24.95" hidden="1" customHeight="1" x14ac:dyDescent="0.25">
      <c r="A49" s="1127"/>
      <c r="B49" s="882" t="s">
        <v>477</v>
      </c>
      <c r="C49" s="877"/>
      <c r="D49" s="875"/>
      <c r="E49" s="878"/>
      <c r="F49" s="879"/>
      <c r="G49" s="881"/>
      <c r="H49" s="875"/>
      <c r="I49" s="878">
        <f t="shared" si="20"/>
        <v>0</v>
      </c>
      <c r="J49" s="878">
        <f t="shared" si="20"/>
        <v>0</v>
      </c>
    </row>
    <row r="50" spans="1:10" s="890" customFormat="1" ht="24.95" hidden="1" customHeight="1" thickBot="1" x14ac:dyDescent="0.3">
      <c r="A50" s="1128"/>
      <c r="B50" s="883" t="s">
        <v>478</v>
      </c>
      <c r="C50" s="884"/>
      <c r="D50" s="885"/>
      <c r="E50" s="886"/>
      <c r="F50" s="887"/>
      <c r="G50" s="888"/>
      <c r="H50" s="889"/>
      <c r="I50" s="887">
        <f t="shared" si="20"/>
        <v>0</v>
      </c>
      <c r="J50" s="887">
        <f t="shared" si="20"/>
        <v>0</v>
      </c>
    </row>
    <row r="51" spans="1:10" ht="30" hidden="1" customHeight="1" thickBot="1" x14ac:dyDescent="0.3">
      <c r="A51" s="1129" t="s">
        <v>472</v>
      </c>
      <c r="B51" s="1130"/>
      <c r="C51" s="861"/>
      <c r="D51" s="891">
        <f>SUM(D45:D50)</f>
        <v>0</v>
      </c>
      <c r="E51" s="891">
        <f t="shared" ref="E51:J51" si="21">SUM(E45:E50)</f>
        <v>0</v>
      </c>
      <c r="F51" s="891">
        <f t="shared" si="21"/>
        <v>0</v>
      </c>
      <c r="G51" s="891">
        <f t="shared" si="21"/>
        <v>0</v>
      </c>
      <c r="H51" s="891">
        <f t="shared" si="21"/>
        <v>0</v>
      </c>
      <c r="I51" s="891">
        <f t="shared" si="21"/>
        <v>0</v>
      </c>
      <c r="J51" s="891">
        <f t="shared" si="21"/>
        <v>0</v>
      </c>
    </row>
    <row r="52" spans="1:10" x14ac:dyDescent="0.25">
      <c r="H52" s="892"/>
      <c r="I52" s="892">
        <f>E42+G42+H42+D42</f>
        <v>1091865.8500000001</v>
      </c>
      <c r="J52" s="892">
        <f>F42+H42+I42+E42</f>
        <v>1912399.35</v>
      </c>
    </row>
    <row r="53" spans="1:10" x14ac:dyDescent="0.25">
      <c r="C53" s="893"/>
      <c r="D53" s="894"/>
      <c r="E53" s="894"/>
      <c r="F53" s="894"/>
      <c r="G53" s="894"/>
      <c r="H53" s="894"/>
      <c r="I53" s="894">
        <f>SUM(F42)</f>
        <v>46567</v>
      </c>
      <c r="J53" s="894">
        <f>SUM(G42)</f>
        <v>27536</v>
      </c>
    </row>
    <row r="54" spans="1:10" ht="24.95" customHeight="1" x14ac:dyDescent="0.25">
      <c r="C54" s="895" t="s">
        <v>479</v>
      </c>
      <c r="D54" s="896">
        <f>H4+H9+H14+H19+H23+H24+G24+H25+F4</f>
        <v>331083</v>
      </c>
      <c r="E54" s="894"/>
      <c r="F54" s="894"/>
      <c r="G54" s="894"/>
      <c r="H54" s="894"/>
      <c r="I54" s="894">
        <f>SUM(I52:I53)</f>
        <v>1138432.8500000001</v>
      </c>
      <c r="J54" s="894">
        <f>SUM(J52:J53)</f>
        <v>1939935.35</v>
      </c>
    </row>
    <row r="55" spans="1:10" ht="24.95" customHeight="1" x14ac:dyDescent="0.25">
      <c r="C55" s="895" t="s">
        <v>480</v>
      </c>
      <c r="D55" s="896">
        <f>D5+H5+D6+H6+D7+H7+E7+D10+H10+H11+H12+D15+H15+H16+D20+H20+D27+G27+H27+E30+H30+E32+H32+D34+H34+E35+H35+E36+H36+E37+H37</f>
        <v>722929.35</v>
      </c>
      <c r="E55" s="894"/>
      <c r="F55" s="894"/>
      <c r="G55" s="894"/>
      <c r="H55" s="894"/>
      <c r="I55" s="894"/>
      <c r="J55" s="894">
        <f>I42-F18</f>
        <v>1093365.8500000001</v>
      </c>
    </row>
    <row r="56" spans="1:10" ht="24.95" customHeight="1" x14ac:dyDescent="0.25">
      <c r="C56" s="895" t="s">
        <v>112</v>
      </c>
      <c r="D56" s="896">
        <f>D42+E42</f>
        <v>348282.35</v>
      </c>
    </row>
    <row r="57" spans="1:10" ht="24.95" customHeight="1" x14ac:dyDescent="0.25">
      <c r="C57" s="895" t="s">
        <v>481</v>
      </c>
      <c r="D57" s="896">
        <f>H39+H40+H26</f>
        <v>3667</v>
      </c>
      <c r="I57" s="894"/>
      <c r="J57" s="894"/>
    </row>
    <row r="58" spans="1:10" ht="24.95" customHeight="1" thickBot="1" x14ac:dyDescent="0.3">
      <c r="C58" s="895" t="s">
        <v>482</v>
      </c>
      <c r="D58" s="897">
        <f>H28+H21</f>
        <v>35686.5</v>
      </c>
    </row>
    <row r="59" spans="1:10" ht="24.95" customHeight="1" x14ac:dyDescent="0.25">
      <c r="D59" s="898">
        <f>D54+D55+D57+D58</f>
        <v>1093365.8500000001</v>
      </c>
    </row>
    <row r="60" spans="1:10" ht="24.95" customHeight="1" x14ac:dyDescent="0.25"/>
  </sheetData>
  <mergeCells count="28">
    <mergeCell ref="A22:C22"/>
    <mergeCell ref="A3:B3"/>
    <mergeCell ref="B4:B7"/>
    <mergeCell ref="A8:C8"/>
    <mergeCell ref="A9:A12"/>
    <mergeCell ref="B9:B12"/>
    <mergeCell ref="A13:C13"/>
    <mergeCell ref="A14:A17"/>
    <mergeCell ref="B14:B17"/>
    <mergeCell ref="A18:C18"/>
    <mergeCell ref="A19:A20"/>
    <mergeCell ref="B19:B21"/>
    <mergeCell ref="D43:J43"/>
    <mergeCell ref="A23:A28"/>
    <mergeCell ref="B23:B28"/>
    <mergeCell ref="A29:C29"/>
    <mergeCell ref="A31:C31"/>
    <mergeCell ref="A33:C33"/>
    <mergeCell ref="B34:B37"/>
    <mergeCell ref="A35:A37"/>
    <mergeCell ref="A44:C44"/>
    <mergeCell ref="A45:A50"/>
    <mergeCell ref="A51:B51"/>
    <mergeCell ref="A38:C38"/>
    <mergeCell ref="A39:A40"/>
    <mergeCell ref="B39:B40"/>
    <mergeCell ref="A41:C41"/>
    <mergeCell ref="A42:B4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2" firstPageNumber="19" orientation="landscape" useFirstPageNumber="1" r:id="rId1"/>
  <headerFooter>
    <oddFooter>&amp;L&amp;"-,Kurzíva"Zastupitelstvo Olomouckého kraje 21-12-2020
11. - Rozpočet Olomouckého kraje 2021 - návrh rozpočtu
Příloha č. 1: Návrh rozpočtu OK na rok 2021 (bilance) - zkrácená verze&amp;R&amp;"-,Kurzíva"Strana &amp;P (Celkem 150)</oddFooter>
  </headerFooter>
  <rowBreaks count="1" manualBreakCount="1">
    <brk id="42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topLeftCell="A46" zoomScaleNormal="100" zoomScaleSheetLayoutView="100" workbookViewId="0">
      <selection activeCell="L60" sqref="L60"/>
    </sheetView>
  </sheetViews>
  <sheetFormatPr defaultColWidth="9.140625" defaultRowHeight="15" x14ac:dyDescent="0.25"/>
  <cols>
    <col min="1" max="1" width="5.28515625" style="30" customWidth="1"/>
    <col min="2" max="2" width="56.28515625" style="1" customWidth="1"/>
    <col min="3" max="4" width="18.140625" style="1" hidden="1" customWidth="1"/>
    <col min="5" max="5" width="22.7109375" style="1" customWidth="1"/>
    <col min="6" max="6" width="22.7109375" style="40" customWidth="1"/>
    <col min="7" max="7" width="9.42578125" style="1" customWidth="1"/>
    <col min="8" max="8" width="17.140625" style="1" customWidth="1"/>
    <col min="9" max="9" width="11.7109375" style="10" bestFit="1" customWidth="1"/>
    <col min="10" max="16384" width="9.140625" style="1"/>
  </cols>
  <sheetData>
    <row r="1" spans="1:13" ht="16.5" x14ac:dyDescent="0.25">
      <c r="A1" s="59" t="s">
        <v>110</v>
      </c>
      <c r="B1" s="58"/>
      <c r="C1" s="58"/>
      <c r="D1" s="58"/>
      <c r="E1" s="58"/>
    </row>
    <row r="2" spans="1:13" ht="16.5" thickBot="1" x14ac:dyDescent="0.3">
      <c r="A2" s="35" t="s">
        <v>40</v>
      </c>
      <c r="G2" s="2" t="s">
        <v>0</v>
      </c>
    </row>
    <row r="3" spans="1:13" ht="36" customHeight="1" thickTop="1" thickBot="1" x14ac:dyDescent="0.3">
      <c r="A3" s="29" t="s">
        <v>1</v>
      </c>
      <c r="B3" s="25" t="s">
        <v>38</v>
      </c>
      <c r="C3" s="22" t="s">
        <v>80</v>
      </c>
      <c r="D3" s="22" t="s">
        <v>81</v>
      </c>
      <c r="E3" s="22" t="s">
        <v>108</v>
      </c>
      <c r="F3" s="100" t="s">
        <v>109</v>
      </c>
      <c r="G3" s="18" t="s">
        <v>2</v>
      </c>
    </row>
    <row r="4" spans="1:13" s="3" customFormat="1" ht="12.75" thickTop="1" thickBot="1" x14ac:dyDescent="0.25">
      <c r="A4" s="19">
        <v>1</v>
      </c>
      <c r="B4" s="20">
        <v>2</v>
      </c>
      <c r="C4" s="21">
        <v>3</v>
      </c>
      <c r="D4" s="21">
        <v>4</v>
      </c>
      <c r="E4" s="21">
        <v>3</v>
      </c>
      <c r="F4" s="26">
        <v>4</v>
      </c>
      <c r="G4" s="23" t="s">
        <v>90</v>
      </c>
      <c r="I4" s="27"/>
    </row>
    <row r="5" spans="1:13" s="77" customFormat="1" ht="17.100000000000001" customHeight="1" thickTop="1" x14ac:dyDescent="0.25">
      <c r="A5" s="4">
        <v>1</v>
      </c>
      <c r="B5" s="102" t="s">
        <v>3</v>
      </c>
      <c r="C5" s="103">
        <f>790223+32010+94954+882612+1728918</f>
        <v>3528717</v>
      </c>
      <c r="D5" s="103">
        <f>897745+24607+96841+1000783+2056630</f>
        <v>4076606</v>
      </c>
      <c r="E5" s="103">
        <v>5461152</v>
      </c>
      <c r="F5" s="184">
        <f>SUM([1]Příjmy!$F$12)</f>
        <v>4962504</v>
      </c>
      <c r="G5" s="160">
        <f t="shared" ref="G5:G21" si="0">F5/E5*100</f>
        <v>90.869179250092287</v>
      </c>
      <c r="H5" s="40"/>
      <c r="I5" s="87"/>
      <c r="J5" s="40"/>
      <c r="K5" s="40"/>
      <c r="L5" s="40"/>
      <c r="M5" s="40"/>
    </row>
    <row r="6" spans="1:13" s="77" customFormat="1" ht="17.100000000000001" customHeight="1" x14ac:dyDescent="0.25">
      <c r="A6" s="6">
        <v>2</v>
      </c>
      <c r="B6" s="7" t="s">
        <v>4</v>
      </c>
      <c r="C6" s="104">
        <v>1343</v>
      </c>
      <c r="D6" s="104">
        <f>149+57+3+291+214+902+127+1</f>
        <v>1744</v>
      </c>
      <c r="E6" s="104">
        <v>1210</v>
      </c>
      <c r="F6" s="173">
        <f>SUM([1]Příjmy!$F$13)</f>
        <v>1185</v>
      </c>
      <c r="G6" s="160">
        <f t="shared" si="0"/>
        <v>97.933884297520663</v>
      </c>
      <c r="H6" s="40"/>
      <c r="I6" s="87"/>
      <c r="J6" s="40"/>
      <c r="K6" s="40"/>
      <c r="L6" s="40"/>
      <c r="M6" s="40"/>
    </row>
    <row r="7" spans="1:13" s="77" customFormat="1" ht="17.100000000000001" customHeight="1" x14ac:dyDescent="0.25">
      <c r="A7" s="4">
        <v>3</v>
      </c>
      <c r="B7" s="7" t="s">
        <v>51</v>
      </c>
      <c r="C7" s="104">
        <f>907+304</f>
        <v>1211</v>
      </c>
      <c r="D7" s="104">
        <f>1210+7+374</f>
        <v>1591</v>
      </c>
      <c r="E7" s="104">
        <v>1330</v>
      </c>
      <c r="F7" s="173">
        <f>SUM([1]Příjmy!$F$14:$F$15)</f>
        <v>1580</v>
      </c>
      <c r="G7" s="160">
        <f t="shared" si="0"/>
        <v>118.79699248120301</v>
      </c>
      <c r="H7" s="40"/>
      <c r="I7" s="87"/>
      <c r="J7" s="40"/>
      <c r="K7" s="40"/>
      <c r="L7" s="40"/>
      <c r="M7" s="40"/>
    </row>
    <row r="8" spans="1:13" s="77" customFormat="1" ht="17.100000000000001" customHeight="1" x14ac:dyDescent="0.25">
      <c r="A8" s="6">
        <v>4</v>
      </c>
      <c r="B8" s="8" t="s">
        <v>10</v>
      </c>
      <c r="C8" s="105">
        <v>161961</v>
      </c>
      <c r="D8" s="105">
        <v>168785</v>
      </c>
      <c r="E8" s="105">
        <v>257871</v>
      </c>
      <c r="F8" s="14">
        <f>SUM([1]Příjmy!$F$16)</f>
        <v>267458</v>
      </c>
      <c r="G8" s="160">
        <f t="shared" si="0"/>
        <v>103.71775034804224</v>
      </c>
      <c r="H8" s="40"/>
      <c r="I8" s="87"/>
      <c r="J8" s="40"/>
      <c r="K8" s="40"/>
      <c r="L8" s="40"/>
      <c r="M8" s="40"/>
    </row>
    <row r="9" spans="1:13" s="77" customFormat="1" ht="17.100000000000001" customHeight="1" x14ac:dyDescent="0.25">
      <c r="A9" s="4">
        <v>5</v>
      </c>
      <c r="B9" s="7" t="s">
        <v>5</v>
      </c>
      <c r="C9" s="104">
        <f>432+37900+157</f>
        <v>38489</v>
      </c>
      <c r="D9" s="104">
        <f>247+30793+131</f>
        <v>31171</v>
      </c>
      <c r="E9" s="107">
        <v>32657.3</v>
      </c>
      <c r="F9" s="174">
        <f>SUM([1]Příjmy!$F$17:$F$20)</f>
        <v>33258.299999999996</v>
      </c>
      <c r="G9" s="160">
        <f t="shared" si="0"/>
        <v>101.84032360299227</v>
      </c>
      <c r="H9" s="40"/>
      <c r="I9" s="87"/>
      <c r="J9" s="40"/>
      <c r="K9" s="40"/>
      <c r="L9" s="40"/>
      <c r="M9" s="40"/>
    </row>
    <row r="10" spans="1:13" s="77" customFormat="1" ht="17.100000000000001" customHeight="1" x14ac:dyDescent="0.25">
      <c r="A10" s="6">
        <v>6</v>
      </c>
      <c r="B10" s="7" t="s">
        <v>6</v>
      </c>
      <c r="C10" s="104">
        <f t="shared" ref="C10" si="1">512+3443</f>
        <v>3955</v>
      </c>
      <c r="D10" s="104">
        <f>646+3181</f>
        <v>3827</v>
      </c>
      <c r="E10" s="107">
        <v>3025</v>
      </c>
      <c r="F10" s="13">
        <f>SUM([1]Příjmy!$F$21:$F$22)</f>
        <v>2920</v>
      </c>
      <c r="G10" s="160">
        <f t="shared" si="0"/>
        <v>96.528925619834709</v>
      </c>
      <c r="H10" s="40"/>
      <c r="I10" s="87"/>
      <c r="J10" s="40"/>
      <c r="K10" s="40"/>
      <c r="L10" s="40"/>
      <c r="M10" s="40"/>
    </row>
    <row r="11" spans="1:13" s="77" customFormat="1" ht="17.100000000000001" customHeight="1" x14ac:dyDescent="0.25">
      <c r="A11" s="4">
        <v>7</v>
      </c>
      <c r="B11" s="55" t="s">
        <v>96</v>
      </c>
      <c r="C11" s="104">
        <f>41073</f>
        <v>41073</v>
      </c>
      <c r="D11" s="104">
        <v>40469</v>
      </c>
      <c r="E11" s="104">
        <v>154510</v>
      </c>
      <c r="F11" s="104">
        <f>SUM([1]Příjmy!$F$23,[1]Příjmy!$F$25:$F$29)</f>
        <v>166876</v>
      </c>
      <c r="G11" s="161">
        <f t="shared" si="0"/>
        <v>108.00336547796259</v>
      </c>
      <c r="H11" s="40"/>
      <c r="I11" s="87"/>
      <c r="J11" s="40"/>
      <c r="K11" s="40"/>
      <c r="L11" s="40"/>
      <c r="M11" s="40"/>
    </row>
    <row r="12" spans="1:13" s="79" customFormat="1" ht="17.100000000000001" customHeight="1" x14ac:dyDescent="0.25">
      <c r="A12" s="6">
        <v>8</v>
      </c>
      <c r="B12" s="108" t="s">
        <v>13</v>
      </c>
      <c r="C12" s="104">
        <v>12615</v>
      </c>
      <c r="D12" s="104">
        <v>2818</v>
      </c>
      <c r="E12" s="104">
        <v>1065</v>
      </c>
      <c r="F12" s="104">
        <f>SUM([1]Příjmy!$F$30:$F$31)</f>
        <v>300</v>
      </c>
      <c r="G12" s="160">
        <f t="shared" si="0"/>
        <v>28.169014084507044</v>
      </c>
      <c r="H12" s="162"/>
      <c r="I12" s="163"/>
      <c r="J12" s="162"/>
      <c r="K12" s="162"/>
      <c r="L12" s="162"/>
      <c r="M12" s="162"/>
    </row>
    <row r="13" spans="1:13" s="77" customFormat="1" ht="17.100000000000001" customHeight="1" x14ac:dyDescent="0.25">
      <c r="A13" s="4">
        <v>9</v>
      </c>
      <c r="B13" s="102" t="s">
        <v>7</v>
      </c>
      <c r="C13" s="103">
        <f>238+14957+75</f>
        <v>15270</v>
      </c>
      <c r="D13" s="103">
        <f>9347+61787+2+28150</f>
        <v>99286</v>
      </c>
      <c r="E13" s="103">
        <v>10210</v>
      </c>
      <c r="F13" s="104">
        <f>SUM([1]Příjmy!$F$32:$F$34,[1]Příjmy!$F$24)</f>
        <v>8360</v>
      </c>
      <c r="G13" s="160">
        <f t="shared" si="0"/>
        <v>81.880509304603336</v>
      </c>
      <c r="H13" s="40"/>
      <c r="I13" s="87"/>
      <c r="J13" s="40"/>
      <c r="K13" s="40"/>
      <c r="L13" s="40"/>
      <c r="M13" s="40"/>
    </row>
    <row r="14" spans="1:13" s="77" customFormat="1" ht="17.100000000000001" customHeight="1" x14ac:dyDescent="0.25">
      <c r="A14" s="6">
        <v>10</v>
      </c>
      <c r="B14" s="7" t="s">
        <v>8</v>
      </c>
      <c r="C14" s="104">
        <v>636</v>
      </c>
      <c r="D14" s="104">
        <v>659</v>
      </c>
      <c r="E14" s="107">
        <v>4000.2</v>
      </c>
      <c r="F14" s="107">
        <f>SUM([1]Příjmy!$F$35)</f>
        <v>500.3</v>
      </c>
      <c r="G14" s="160">
        <f t="shared" si="0"/>
        <v>12.506874656267186</v>
      </c>
      <c r="H14" s="40"/>
      <c r="I14" s="87"/>
      <c r="J14" s="40"/>
      <c r="K14" s="40"/>
      <c r="L14" s="40"/>
      <c r="M14" s="40"/>
    </row>
    <row r="15" spans="1:13" s="77" customFormat="1" ht="17.100000000000001" customHeight="1" x14ac:dyDescent="0.25">
      <c r="A15" s="4">
        <v>11</v>
      </c>
      <c r="B15" s="8" t="s">
        <v>9</v>
      </c>
      <c r="C15" s="105">
        <v>73854</v>
      </c>
      <c r="D15" s="105">
        <v>76028</v>
      </c>
      <c r="E15" s="106">
        <v>109631.5</v>
      </c>
      <c r="F15" s="174">
        <f>SUM([1]Příjmy!$F$36)</f>
        <v>122749.4</v>
      </c>
      <c r="G15" s="160">
        <f t="shared" si="0"/>
        <v>111.96544788678435</v>
      </c>
      <c r="H15" s="40"/>
      <c r="I15" s="87"/>
      <c r="J15" s="40"/>
      <c r="K15" s="40"/>
      <c r="L15" s="40"/>
      <c r="M15" s="40"/>
    </row>
    <row r="16" spans="1:13" s="77" customFormat="1" ht="17.100000000000001" customHeight="1" x14ac:dyDescent="0.25">
      <c r="A16" s="6">
        <v>12</v>
      </c>
      <c r="B16" s="8" t="s">
        <v>100</v>
      </c>
      <c r="C16" s="105"/>
      <c r="D16" s="105"/>
      <c r="E16" s="106">
        <v>25012</v>
      </c>
      <c r="F16" s="13">
        <f>SUM([1]Příjmy!$F$37)</f>
        <v>26142</v>
      </c>
      <c r="G16" s="160">
        <f t="shared" si="0"/>
        <v>104.51783144090837</v>
      </c>
      <c r="H16" s="40"/>
      <c r="I16" s="87"/>
      <c r="J16" s="40"/>
      <c r="K16" s="40"/>
      <c r="L16" s="40"/>
      <c r="M16" s="40"/>
    </row>
    <row r="17" spans="1:13" s="77" customFormat="1" ht="17.100000000000001" customHeight="1" x14ac:dyDescent="0.25">
      <c r="A17" s="4">
        <v>13</v>
      </c>
      <c r="B17" s="8" t="s">
        <v>11</v>
      </c>
      <c r="C17" s="105">
        <v>7280</v>
      </c>
      <c r="D17" s="105">
        <v>7780</v>
      </c>
      <c r="E17" s="105">
        <v>10529</v>
      </c>
      <c r="F17" s="104">
        <f>SUM([1]Příjmy!$F$47)</f>
        <v>12818</v>
      </c>
      <c r="G17" s="160">
        <f t="shared" si="0"/>
        <v>121.73995631114065</v>
      </c>
      <c r="H17" s="40"/>
      <c r="I17" s="87"/>
      <c r="J17" s="40"/>
      <c r="K17" s="40"/>
      <c r="L17" s="40"/>
      <c r="M17" s="40"/>
    </row>
    <row r="18" spans="1:13" s="92" customFormat="1" ht="27.75" customHeight="1" x14ac:dyDescent="0.2">
      <c r="A18" s="6">
        <v>14</v>
      </c>
      <c r="B18" s="8" t="s">
        <v>12</v>
      </c>
      <c r="C18" s="105">
        <v>63636</v>
      </c>
      <c r="D18" s="105">
        <v>65018</v>
      </c>
      <c r="E18" s="105">
        <v>34000</v>
      </c>
      <c r="F18" s="14">
        <f>SUM([1]Příjmy!$F$65)</f>
        <v>34300</v>
      </c>
      <c r="G18" s="164">
        <f t="shared" si="0"/>
        <v>100.88235294117646</v>
      </c>
      <c r="H18" s="85"/>
      <c r="I18" s="165"/>
      <c r="J18" s="85"/>
      <c r="K18" s="85"/>
      <c r="L18" s="85"/>
      <c r="M18" s="85"/>
    </row>
    <row r="19" spans="1:13" s="94" customFormat="1" ht="24.95" customHeight="1" x14ac:dyDescent="0.25">
      <c r="A19" s="9">
        <v>15</v>
      </c>
      <c r="B19" s="109" t="s">
        <v>14</v>
      </c>
      <c r="C19" s="110">
        <f>SUM(C5:C18)</f>
        <v>3950040</v>
      </c>
      <c r="D19" s="110">
        <f>SUM(D5:D18)</f>
        <v>4575782</v>
      </c>
      <c r="E19" s="110">
        <f>SUM(E5:E18)</f>
        <v>6106203</v>
      </c>
      <c r="F19" s="110">
        <f>SUM(F5:F18)</f>
        <v>5640951</v>
      </c>
      <c r="G19" s="166">
        <f t="shared" si="0"/>
        <v>92.380666021093631</v>
      </c>
      <c r="H19" s="167"/>
      <c r="I19" s="168"/>
      <c r="J19" s="167"/>
      <c r="K19" s="167"/>
      <c r="L19" s="167"/>
      <c r="M19" s="167"/>
    </row>
    <row r="20" spans="1:13" s="80" customFormat="1" ht="17.100000000000001" customHeight="1" x14ac:dyDescent="0.2">
      <c r="A20" s="9">
        <v>16</v>
      </c>
      <c r="B20" s="111" t="s">
        <v>15</v>
      </c>
      <c r="C20" s="112">
        <v>-6424</v>
      </c>
      <c r="D20" s="112">
        <v>-7171</v>
      </c>
      <c r="E20" s="112">
        <v>-10527</v>
      </c>
      <c r="F20" s="175">
        <v>-12814</v>
      </c>
      <c r="G20" s="169">
        <f t="shared" si="0"/>
        <v>121.7250878692885</v>
      </c>
      <c r="H20" s="113"/>
      <c r="I20" s="121"/>
      <c r="J20" s="113"/>
      <c r="K20" s="113"/>
      <c r="L20" s="113"/>
      <c r="M20" s="113"/>
    </row>
    <row r="21" spans="1:13" s="77" customFormat="1" ht="24.75" customHeight="1" thickBot="1" x14ac:dyDescent="0.3">
      <c r="A21" s="114">
        <v>17</v>
      </c>
      <c r="B21" s="115" t="s">
        <v>19</v>
      </c>
      <c r="C21" s="116">
        <f t="shared" ref="C21:D21" si="2">SUM(C19:C20)</f>
        <v>3943616</v>
      </c>
      <c r="D21" s="116">
        <f t="shared" si="2"/>
        <v>4568611</v>
      </c>
      <c r="E21" s="116">
        <f>SUM(E19:E20)</f>
        <v>6095676</v>
      </c>
      <c r="F21" s="116">
        <f>SUM(F19:F20)</f>
        <v>5628137</v>
      </c>
      <c r="G21" s="170">
        <f t="shared" si="0"/>
        <v>92.329989323579525</v>
      </c>
      <c r="H21" s="87"/>
      <c r="I21" s="87"/>
      <c r="J21" s="40"/>
      <c r="K21" s="40"/>
      <c r="L21" s="40"/>
      <c r="M21" s="40"/>
    </row>
    <row r="22" spans="1:13" ht="15.75" thickTop="1" x14ac:dyDescent="0.25">
      <c r="C22" s="40"/>
      <c r="F22" s="87"/>
    </row>
    <row r="23" spans="1:13" ht="16.5" thickBot="1" x14ac:dyDescent="0.3">
      <c r="A23" s="34" t="s">
        <v>39</v>
      </c>
      <c r="B23" s="11"/>
      <c r="C23" s="40"/>
      <c r="G23" s="2" t="s">
        <v>0</v>
      </c>
    </row>
    <row r="24" spans="1:13" s="12" customFormat="1" ht="33.75" customHeight="1" thickTop="1" thickBot="1" x14ac:dyDescent="0.25">
      <c r="A24" s="31" t="s">
        <v>1</v>
      </c>
      <c r="B24" s="17" t="s">
        <v>16</v>
      </c>
      <c r="C24" s="22" t="s">
        <v>80</v>
      </c>
      <c r="D24" s="22" t="s">
        <v>81</v>
      </c>
      <c r="E24" s="22" t="s">
        <v>108</v>
      </c>
      <c r="F24" s="100" t="s">
        <v>109</v>
      </c>
      <c r="G24" s="18" t="s">
        <v>2</v>
      </c>
      <c r="H24" s="48"/>
      <c r="I24" s="28"/>
    </row>
    <row r="25" spans="1:13" s="3" customFormat="1" ht="12.75" thickTop="1" thickBot="1" x14ac:dyDescent="0.25">
      <c r="A25" s="19">
        <v>1</v>
      </c>
      <c r="B25" s="20">
        <v>2</v>
      </c>
      <c r="C25" s="21">
        <v>3</v>
      </c>
      <c r="D25" s="21">
        <v>4</v>
      </c>
      <c r="E25" s="21">
        <v>3</v>
      </c>
      <c r="F25" s="26">
        <v>4</v>
      </c>
      <c r="G25" s="23" t="s">
        <v>90</v>
      </c>
      <c r="H25" s="49"/>
      <c r="I25" s="27"/>
    </row>
    <row r="26" spans="1:13" s="40" customFormat="1" ht="17.100000000000001" customHeight="1" thickTop="1" x14ac:dyDescent="0.25">
      <c r="A26" s="4">
        <v>1</v>
      </c>
      <c r="B26" s="90" t="s">
        <v>82</v>
      </c>
      <c r="C26" s="37">
        <f>SUM([3]celkem!$D$24)</f>
        <v>529104</v>
      </c>
      <c r="D26" s="37">
        <f>SUM([3]celkem!$E$24)</f>
        <v>561055</v>
      </c>
      <c r="E26" s="37">
        <v>961641</v>
      </c>
      <c r="F26" s="171">
        <f>SUM([4]celkem!$H$23)</f>
        <v>884329</v>
      </c>
      <c r="G26" s="50">
        <f t="shared" ref="G26:G43" si="3">F26/E26*100</f>
        <v>91.960409341947781</v>
      </c>
      <c r="H26" s="86"/>
      <c r="I26" s="87"/>
    </row>
    <row r="27" spans="1:13" s="51" customFormat="1" ht="17.100000000000001" customHeight="1" x14ac:dyDescent="0.25">
      <c r="A27" s="73">
        <v>2</v>
      </c>
      <c r="B27" s="74" t="s">
        <v>54</v>
      </c>
      <c r="C27" s="39">
        <v>276809</v>
      </c>
      <c r="D27" s="39">
        <f>SUM([6]rekapitulace!$E$108)</f>
        <v>0</v>
      </c>
      <c r="E27" s="39">
        <v>630915</v>
      </c>
      <c r="F27" s="171">
        <f>SUM([7]rekapitulace!$G$139)</f>
        <v>778658</v>
      </c>
      <c r="G27" s="91">
        <f t="shared" si="3"/>
        <v>123.41725906025376</v>
      </c>
      <c r="H27" s="172"/>
      <c r="I27" s="101"/>
    </row>
    <row r="28" spans="1:13" s="77" customFormat="1" ht="17.100000000000001" customHeight="1" x14ac:dyDescent="0.25">
      <c r="A28" s="54">
        <v>3</v>
      </c>
      <c r="B28" s="55" t="s">
        <v>65</v>
      </c>
      <c r="C28" s="13">
        <f>SUM(C29,C38)</f>
        <v>2297356</v>
      </c>
      <c r="D28" s="13">
        <f t="shared" ref="D28" si="4">SUM(D29,D38)</f>
        <v>2401685</v>
      </c>
      <c r="E28" s="13">
        <f>SUM(E29,E36,E38)</f>
        <v>3385644</v>
      </c>
      <c r="F28" s="13">
        <f>SUM(F29,F36,F38,F37)</f>
        <v>3487545</v>
      </c>
      <c r="G28" s="50">
        <f t="shared" si="3"/>
        <v>103.00979665906989</v>
      </c>
      <c r="H28" s="86"/>
      <c r="I28" s="87"/>
      <c r="J28" s="76"/>
    </row>
    <row r="29" spans="1:13" s="77" customFormat="1" ht="17.100000000000001" customHeight="1" x14ac:dyDescent="0.25">
      <c r="A29" s="147"/>
      <c r="B29" s="55" t="s">
        <v>66</v>
      </c>
      <c r="C29" s="38">
        <f>SUM(C30:C35)</f>
        <v>1412556</v>
      </c>
      <c r="D29" s="38">
        <f t="shared" ref="D29:E29" si="5">SUM(D30:D35)</f>
        <v>1483580</v>
      </c>
      <c r="E29" s="38">
        <f t="shared" si="5"/>
        <v>1944879</v>
      </c>
      <c r="F29" s="185">
        <f>SUM(F30:F35)</f>
        <v>2024058</v>
      </c>
      <c r="G29" s="60">
        <f t="shared" si="3"/>
        <v>104.07115301260387</v>
      </c>
      <c r="H29" s="86"/>
      <c r="I29" s="87"/>
      <c r="J29" s="76"/>
    </row>
    <row r="30" spans="1:13" s="77" customFormat="1" ht="17.100000000000001" customHeight="1" x14ac:dyDescent="0.25">
      <c r="A30" s="147"/>
      <c r="B30" s="56" t="s">
        <v>41</v>
      </c>
      <c r="C30" s="32">
        <v>911473</v>
      </c>
      <c r="D30" s="32">
        <v>936931</v>
      </c>
      <c r="E30" s="32">
        <v>632968</v>
      </c>
      <c r="F30" s="186">
        <f>SUM('[9]Sumář celkem'!$H$65)</f>
        <v>612867</v>
      </c>
      <c r="G30" s="33">
        <f t="shared" si="3"/>
        <v>96.824326032279671</v>
      </c>
      <c r="H30" s="86"/>
      <c r="I30" s="87"/>
    </row>
    <row r="31" spans="1:13" s="77" customFormat="1" ht="17.100000000000001" customHeight="1" x14ac:dyDescent="0.25">
      <c r="A31" s="147"/>
      <c r="B31" s="56" t="s">
        <v>43</v>
      </c>
      <c r="C31" s="32">
        <v>203064</v>
      </c>
      <c r="D31" s="32">
        <v>214886</v>
      </c>
      <c r="E31" s="32">
        <v>867784</v>
      </c>
      <c r="F31" s="186">
        <f>SUM('[9]Sumář celkem'!$H$66)</f>
        <v>939668</v>
      </c>
      <c r="G31" s="33">
        <f t="shared" si="3"/>
        <v>108.28362818397206</v>
      </c>
      <c r="H31" s="86"/>
      <c r="I31" s="87"/>
    </row>
    <row r="32" spans="1:13" s="77" customFormat="1" ht="17.100000000000001" customHeight="1" x14ac:dyDescent="0.25">
      <c r="A32" s="147"/>
      <c r="B32" s="56" t="s">
        <v>42</v>
      </c>
      <c r="C32" s="32">
        <v>286197</v>
      </c>
      <c r="D32" s="32">
        <v>309963</v>
      </c>
      <c r="E32" s="32">
        <v>422311</v>
      </c>
      <c r="F32" s="186">
        <f>SUM('[9]Sumář celkem'!$H$67)</f>
        <v>437981</v>
      </c>
      <c r="G32" s="33">
        <f t="shared" si="3"/>
        <v>103.71053560054084</v>
      </c>
      <c r="H32" s="86"/>
      <c r="I32" s="87"/>
    </row>
    <row r="33" spans="1:9" s="77" customFormat="1" ht="17.100000000000001" customHeight="1" x14ac:dyDescent="0.25">
      <c r="A33" s="148"/>
      <c r="B33" s="57" t="s">
        <v>52</v>
      </c>
      <c r="C33" s="88">
        <v>1793</v>
      </c>
      <c r="D33" s="88">
        <v>19856</v>
      </c>
      <c r="E33" s="88">
        <v>0</v>
      </c>
      <c r="F33" s="187">
        <f>SUM('[9]Sumář celkem'!$H$68)</f>
        <v>11530</v>
      </c>
      <c r="G33" s="33"/>
      <c r="H33" s="87"/>
      <c r="I33" s="87"/>
    </row>
    <row r="34" spans="1:9" s="77" customFormat="1" ht="17.100000000000001" customHeight="1" x14ac:dyDescent="0.25">
      <c r="A34" s="147"/>
      <c r="B34" s="56" t="s">
        <v>44</v>
      </c>
      <c r="C34" s="32">
        <f>9849+180</f>
        <v>10029</v>
      </c>
      <c r="D34" s="32">
        <f>1744+200</f>
        <v>1944</v>
      </c>
      <c r="E34" s="32">
        <v>2056</v>
      </c>
      <c r="F34" s="186">
        <f>SUM('[9]Sumář celkem'!$H$69:$H$71)</f>
        <v>2012</v>
      </c>
      <c r="G34" s="33">
        <f t="shared" si="3"/>
        <v>97.859922178988327</v>
      </c>
      <c r="H34" s="86"/>
      <c r="I34" s="87"/>
    </row>
    <row r="35" spans="1:9" s="77" customFormat="1" ht="17.100000000000001" customHeight="1" x14ac:dyDescent="0.25">
      <c r="A35" s="147"/>
      <c r="B35" s="56" t="s">
        <v>53</v>
      </c>
      <c r="C35" s="32">
        <v>0</v>
      </c>
      <c r="D35" s="32">
        <v>0</v>
      </c>
      <c r="E35" s="32">
        <v>19760</v>
      </c>
      <c r="F35" s="186">
        <f>SUM('[9]Sumář celkem'!$H$72)</f>
        <v>20000</v>
      </c>
      <c r="G35" s="33">
        <f t="shared" si="3"/>
        <v>101.21457489878543</v>
      </c>
      <c r="H35" s="86"/>
      <c r="I35" s="87"/>
    </row>
    <row r="36" spans="1:9" s="77" customFormat="1" ht="17.100000000000001" customHeight="1" x14ac:dyDescent="0.25">
      <c r="A36" s="147"/>
      <c r="B36" s="55" t="s">
        <v>94</v>
      </c>
      <c r="C36" s="32"/>
      <c r="D36" s="32"/>
      <c r="E36" s="38">
        <v>565</v>
      </c>
      <c r="F36" s="188">
        <f>SUM('[9]Sumář celkem'!$H$76)</f>
        <v>595</v>
      </c>
      <c r="G36" s="89">
        <f t="shared" si="3"/>
        <v>105.30973451327435</v>
      </c>
      <c r="H36" s="75"/>
      <c r="I36" s="76"/>
    </row>
    <row r="37" spans="1:9" s="77" customFormat="1" ht="17.100000000000001" customHeight="1" x14ac:dyDescent="0.25">
      <c r="A37" s="147"/>
      <c r="B37" s="55" t="s">
        <v>111</v>
      </c>
      <c r="C37" s="32"/>
      <c r="D37" s="32"/>
      <c r="E37" s="38">
        <v>0</v>
      </c>
      <c r="F37" s="188">
        <f>SUM('[9]Sumář celkem'!$H$75)</f>
        <v>600</v>
      </c>
      <c r="G37" s="89"/>
      <c r="H37" s="75"/>
      <c r="I37" s="76"/>
    </row>
    <row r="38" spans="1:9" s="77" customFormat="1" ht="17.100000000000001" customHeight="1" x14ac:dyDescent="0.25">
      <c r="A38" s="147"/>
      <c r="B38" s="56" t="s">
        <v>95</v>
      </c>
      <c r="C38" s="38">
        <v>884800</v>
      </c>
      <c r="D38" s="38">
        <v>918105</v>
      </c>
      <c r="E38" s="38">
        <v>1440200</v>
      </c>
      <c r="F38" s="188">
        <f>SUM('[9]Sumář celkem'!$H$77)</f>
        <v>1462292</v>
      </c>
      <c r="G38" s="89">
        <f t="shared" si="3"/>
        <v>101.53395361755311</v>
      </c>
      <c r="H38" s="75"/>
      <c r="I38" s="76"/>
    </row>
    <row r="39" spans="1:9" s="40" customFormat="1" ht="17.100000000000001" customHeight="1" x14ac:dyDescent="0.25">
      <c r="A39" s="4">
        <v>4</v>
      </c>
      <c r="B39" s="7" t="s">
        <v>17</v>
      </c>
      <c r="C39" s="13">
        <v>6748</v>
      </c>
      <c r="D39" s="13">
        <v>8561</v>
      </c>
      <c r="E39" s="13">
        <v>10529</v>
      </c>
      <c r="F39" s="189">
        <f>SUM('[11]ORJ - 199'!$G$15)</f>
        <v>12818</v>
      </c>
      <c r="G39" s="5">
        <f t="shared" si="3"/>
        <v>121.73995631114065</v>
      </c>
      <c r="H39" s="75"/>
      <c r="I39" s="76"/>
    </row>
    <row r="40" spans="1:9" s="85" customFormat="1" ht="31.5" customHeight="1" x14ac:dyDescent="0.2">
      <c r="A40" s="6">
        <v>5</v>
      </c>
      <c r="B40" s="8" t="s">
        <v>12</v>
      </c>
      <c r="C40" s="14">
        <v>76597</v>
      </c>
      <c r="D40" s="14">
        <v>54670</v>
      </c>
      <c r="E40" s="14">
        <v>34000</v>
      </c>
      <c r="F40" s="190">
        <f>SUM('[12]ORJ - 99'!$F$14)</f>
        <v>34300</v>
      </c>
      <c r="G40" s="83">
        <f t="shared" si="3"/>
        <v>100.88235294117646</v>
      </c>
      <c r="H40" s="84"/>
      <c r="I40" s="93"/>
    </row>
    <row r="41" spans="1:9" s="79" customFormat="1" ht="17.100000000000001" customHeight="1" x14ac:dyDescent="0.25">
      <c r="A41" s="6">
        <v>6</v>
      </c>
      <c r="B41" s="132" t="s">
        <v>64</v>
      </c>
      <c r="C41" s="1022">
        <v>915943</v>
      </c>
      <c r="D41" s="1022">
        <v>937630</v>
      </c>
      <c r="E41" s="14">
        <f>SUM(E42:E46)</f>
        <v>1177726</v>
      </c>
      <c r="F41" s="176">
        <f>SUM(F42:F43)</f>
        <v>600808</v>
      </c>
      <c r="G41" s="5">
        <f t="shared" si="3"/>
        <v>51.014242701613114</v>
      </c>
      <c r="H41" s="149"/>
      <c r="I41" s="78"/>
    </row>
    <row r="42" spans="1:9" s="79" customFormat="1" ht="17.100000000000001" customHeight="1" x14ac:dyDescent="0.25">
      <c r="A42" s="4"/>
      <c r="B42" s="133" t="s">
        <v>55</v>
      </c>
      <c r="C42" s="1023"/>
      <c r="D42" s="1023"/>
      <c r="E42" s="131">
        <v>778157</v>
      </c>
      <c r="F42" s="177">
        <f>SUM([13]Souhrn!$J$5)</f>
        <v>600808</v>
      </c>
      <c r="G42" s="33">
        <f t="shared" si="3"/>
        <v>77.209097906977647</v>
      </c>
      <c r="H42" s="163"/>
      <c r="I42" s="78"/>
    </row>
    <row r="43" spans="1:9" s="79" customFormat="1" ht="17.100000000000001" customHeight="1" x14ac:dyDescent="0.25">
      <c r="A43" s="4"/>
      <c r="B43" s="133" t="s">
        <v>83</v>
      </c>
      <c r="C43" s="1023"/>
      <c r="D43" s="1023"/>
      <c r="E43" s="131">
        <v>399569</v>
      </c>
      <c r="F43" s="177">
        <f>SUM([13]Souhrn!$J$37)</f>
        <v>0</v>
      </c>
      <c r="G43" s="33">
        <f t="shared" si="3"/>
        <v>0</v>
      </c>
      <c r="H43" s="149"/>
      <c r="I43" s="78"/>
    </row>
    <row r="44" spans="1:9" s="79" customFormat="1" ht="17.100000000000001" customHeight="1" x14ac:dyDescent="0.25">
      <c r="A44" s="4"/>
      <c r="B44" s="191" t="s">
        <v>112</v>
      </c>
      <c r="C44" s="1023"/>
      <c r="D44" s="1023"/>
      <c r="E44" s="192">
        <v>0</v>
      </c>
      <c r="F44" s="193">
        <f>SUM([13]Souhrn!$H$42)</f>
        <v>484721.35</v>
      </c>
      <c r="G44" s="33"/>
      <c r="H44" s="149"/>
      <c r="I44" s="78"/>
    </row>
    <row r="45" spans="1:9" s="79" customFormat="1" ht="17.100000000000001" customHeight="1" x14ac:dyDescent="0.25">
      <c r="A45" s="4"/>
      <c r="B45" s="133" t="s">
        <v>56</v>
      </c>
      <c r="C45" s="1023"/>
      <c r="D45" s="1023"/>
      <c r="E45" s="150"/>
      <c r="F45" s="178">
        <v>0</v>
      </c>
      <c r="G45" s="33"/>
      <c r="H45" s="149"/>
      <c r="I45" s="78"/>
    </row>
    <row r="46" spans="1:9" s="79" customFormat="1" ht="17.100000000000001" customHeight="1" x14ac:dyDescent="0.25">
      <c r="A46" s="4"/>
      <c r="B46" s="138" t="s">
        <v>99</v>
      </c>
      <c r="C46" s="1024"/>
      <c r="D46" s="1024"/>
      <c r="E46" s="150">
        <v>0</v>
      </c>
      <c r="F46" s="178">
        <f>SUM([13]Souhrn!$J$12)</f>
        <v>0</v>
      </c>
      <c r="G46" s="33"/>
      <c r="H46" s="149"/>
      <c r="I46" s="78"/>
    </row>
    <row r="47" spans="1:9" s="77" customFormat="1" ht="24.95" customHeight="1" x14ac:dyDescent="0.25">
      <c r="A47" s="9">
        <v>7</v>
      </c>
      <c r="B47" s="15" t="s">
        <v>18</v>
      </c>
      <c r="C47" s="16">
        <f>SUM(C26,C27,C28,C39,C40,C41)</f>
        <v>4102557</v>
      </c>
      <c r="D47" s="16">
        <f>SUM(D26,D27,D28,D39,D40,D41)</f>
        <v>3963601</v>
      </c>
      <c r="E47" s="16">
        <f>SUM(E26:E28,E39:E41)</f>
        <v>6200455</v>
      </c>
      <c r="F47" s="179">
        <f>SUM(F26:F28,F39:F41)</f>
        <v>5798458</v>
      </c>
      <c r="G47" s="135">
        <f>F47/E47*100</f>
        <v>93.516653213352896</v>
      </c>
      <c r="H47" s="86"/>
      <c r="I47" s="76"/>
    </row>
    <row r="48" spans="1:9" s="80" customFormat="1" ht="17.100000000000001" customHeight="1" x14ac:dyDescent="0.2">
      <c r="A48" s="9">
        <v>8</v>
      </c>
      <c r="B48" s="97" t="s">
        <v>15</v>
      </c>
      <c r="C48" s="95">
        <v>-6424</v>
      </c>
      <c r="D48" s="95">
        <v>-7171</v>
      </c>
      <c r="E48" s="95">
        <v>-10527</v>
      </c>
      <c r="F48" s="180">
        <v>-12814</v>
      </c>
      <c r="G48" s="136">
        <f>F48/E48*100</f>
        <v>121.7250878692885</v>
      </c>
      <c r="H48" s="120"/>
      <c r="I48" s="24"/>
    </row>
    <row r="49" spans="1:9" s="82" customFormat="1" ht="24.95" customHeight="1" thickBot="1" x14ac:dyDescent="0.3">
      <c r="A49" s="98">
        <v>9</v>
      </c>
      <c r="B49" s="99" t="s">
        <v>37</v>
      </c>
      <c r="C49" s="96">
        <f t="shared" ref="C49" si="6">SUM(C47:C48)</f>
        <v>4096133</v>
      </c>
      <c r="D49" s="96">
        <f>SUM(D47:D48)</f>
        <v>3956430</v>
      </c>
      <c r="E49" s="96">
        <f>SUM(E47:E48)</f>
        <v>6189928</v>
      </c>
      <c r="F49" s="181">
        <f>SUM(F47:F48)</f>
        <v>5785644</v>
      </c>
      <c r="G49" s="137">
        <f>F49/E49*100</f>
        <v>93.468680088039804</v>
      </c>
      <c r="H49" s="151"/>
      <c r="I49" s="81"/>
    </row>
    <row r="50" spans="1:9" s="40" customFormat="1" ht="15.75" thickTop="1" x14ac:dyDescent="0.25">
      <c r="E50" s="87"/>
      <c r="F50" s="87"/>
      <c r="G50" s="87"/>
      <c r="H50" s="86"/>
      <c r="I50" s="87"/>
    </row>
    <row r="51" spans="1:9" s="40" customFormat="1" ht="16.5" thickBot="1" x14ac:dyDescent="0.3">
      <c r="A51" s="36" t="s">
        <v>45</v>
      </c>
      <c r="B51" s="152"/>
      <c r="G51" s="153" t="s">
        <v>0</v>
      </c>
      <c r="H51" s="86"/>
      <c r="I51" s="87"/>
    </row>
    <row r="52" spans="1:9" s="12" customFormat="1" ht="33.75" customHeight="1" thickTop="1" thickBot="1" x14ac:dyDescent="0.25">
      <c r="A52" s="31" t="s">
        <v>1</v>
      </c>
      <c r="B52" s="17" t="s">
        <v>16</v>
      </c>
      <c r="C52" s="154" t="s">
        <v>80</v>
      </c>
      <c r="D52" s="154" t="s">
        <v>81</v>
      </c>
      <c r="E52" s="22" t="s">
        <v>108</v>
      </c>
      <c r="F52" s="100" t="s">
        <v>109</v>
      </c>
      <c r="G52" s="18" t="s">
        <v>2</v>
      </c>
      <c r="H52" s="48"/>
      <c r="I52" s="28"/>
    </row>
    <row r="53" spans="1:9" s="3" customFormat="1" ht="12.75" thickTop="1" thickBot="1" x14ac:dyDescent="0.25">
      <c r="A53" s="19">
        <v>1</v>
      </c>
      <c r="B53" s="20">
        <v>2</v>
      </c>
      <c r="C53" s="21">
        <v>3</v>
      </c>
      <c r="D53" s="21">
        <v>4</v>
      </c>
      <c r="E53" s="21">
        <v>3</v>
      </c>
      <c r="F53" s="26">
        <v>4</v>
      </c>
      <c r="G53" s="23" t="s">
        <v>90</v>
      </c>
      <c r="H53" s="49"/>
      <c r="I53" s="27"/>
    </row>
    <row r="54" spans="1:9" s="113" customFormat="1" ht="31.5" customHeight="1" thickTop="1" x14ac:dyDescent="0.2">
      <c r="A54" s="128">
        <v>1</v>
      </c>
      <c r="B54" s="129" t="s">
        <v>21</v>
      </c>
      <c r="C54" s="130">
        <v>818235</v>
      </c>
      <c r="D54" s="130">
        <v>530440</v>
      </c>
      <c r="E54" s="130">
        <v>440593</v>
      </c>
      <c r="F54" s="37">
        <f>SUM('[14]zůstatek na účtu'!$G$13)</f>
        <v>0</v>
      </c>
      <c r="G54" s="139">
        <f>F54/E54*100</f>
        <v>0</v>
      </c>
      <c r="H54" s="120"/>
      <c r="I54" s="121"/>
    </row>
    <row r="55" spans="1:9" s="113" customFormat="1" ht="17.100000000000001" customHeight="1" x14ac:dyDescent="0.2">
      <c r="A55" s="6">
        <v>2</v>
      </c>
      <c r="B55" s="108" t="s">
        <v>89</v>
      </c>
      <c r="C55" s="134"/>
      <c r="D55" s="134"/>
      <c r="E55" s="134">
        <v>0</v>
      </c>
      <c r="F55" s="182"/>
      <c r="G55" s="140"/>
      <c r="H55" s="120"/>
      <c r="I55" s="121"/>
    </row>
    <row r="56" spans="1:9" s="113" customFormat="1" ht="17.100000000000001" customHeight="1" x14ac:dyDescent="0.2">
      <c r="A56" s="117">
        <v>3</v>
      </c>
      <c r="B56" s="118" t="s">
        <v>20</v>
      </c>
      <c r="C56" s="119">
        <v>-237433</v>
      </c>
      <c r="D56" s="119">
        <v>-219030</v>
      </c>
      <c r="E56" s="119">
        <v>-346341</v>
      </c>
      <c r="F56" s="183">
        <f>-SUM('[14]Splátky úvěrů'!$G$15)</f>
        <v>-421341</v>
      </c>
      <c r="G56" s="141">
        <f>F56/E56*100</f>
        <v>121.65495855240933</v>
      </c>
      <c r="H56" s="120"/>
      <c r="I56" s="121"/>
    </row>
    <row r="57" spans="1:9" s="127" customFormat="1" ht="24.95" customHeight="1" thickBot="1" x14ac:dyDescent="0.3">
      <c r="A57" s="122">
        <v>4</v>
      </c>
      <c r="B57" s="123" t="s">
        <v>22</v>
      </c>
      <c r="C57" s="96" t="e">
        <f>C54+#REF!+C56</f>
        <v>#REF!</v>
      </c>
      <c r="D57" s="96" t="e">
        <f>D54+#REF!+D56</f>
        <v>#REF!</v>
      </c>
      <c r="E57" s="96">
        <f>SUM(E54:E56)</f>
        <v>94252</v>
      </c>
      <c r="F57" s="96">
        <f>SUM(F54:F56)</f>
        <v>-421341</v>
      </c>
      <c r="G57" s="124">
        <f>F57/E57*100</f>
        <v>-447.03666765691975</v>
      </c>
      <c r="H57" s="125"/>
      <c r="I57" s="126"/>
    </row>
    <row r="58" spans="1:9" ht="15.75" thickTop="1" x14ac:dyDescent="0.25">
      <c r="A58" s="155"/>
      <c r="B58" s="77"/>
      <c r="C58" s="77"/>
      <c r="D58" s="77"/>
      <c r="E58" s="77"/>
      <c r="G58" s="77"/>
      <c r="H58" s="75"/>
      <c r="I58" s="76"/>
    </row>
    <row r="59" spans="1:9" s="145" customFormat="1" ht="28.5" customHeight="1" thickBot="1" x14ac:dyDescent="0.3">
      <c r="A59" s="142" t="s">
        <v>97</v>
      </c>
      <c r="B59" s="143"/>
      <c r="C59" s="143"/>
      <c r="D59" s="143"/>
      <c r="E59" s="143"/>
      <c r="F59" s="144">
        <f>SUM(F63)</f>
        <v>-578848</v>
      </c>
      <c r="G59" s="142" t="s">
        <v>98</v>
      </c>
      <c r="I59" s="146"/>
    </row>
    <row r="60" spans="1:9" ht="15.75" thickTop="1" x14ac:dyDescent="0.25">
      <c r="A60" s="77"/>
      <c r="B60" s="77"/>
      <c r="C60" s="77"/>
      <c r="D60" s="77"/>
      <c r="E60" s="77"/>
      <c r="F60" s="77"/>
      <c r="G60" s="77"/>
      <c r="H60" s="77"/>
      <c r="I60" s="76"/>
    </row>
    <row r="61" spans="1:9" ht="15.75" x14ac:dyDescent="0.25">
      <c r="A61" s="155"/>
      <c r="B61" s="156" t="s">
        <v>46</v>
      </c>
      <c r="C61" s="157">
        <f>SUM(C21,C54:D55)</f>
        <v>5292291</v>
      </c>
      <c r="D61" s="157">
        <f>SUM(D21,D54:D55)</f>
        <v>5099051</v>
      </c>
      <c r="E61" s="157">
        <f>SUM(E21,E54:E55)</f>
        <v>6536269</v>
      </c>
      <c r="F61" s="157">
        <f>SUM(F21,F54:F55)</f>
        <v>5628137</v>
      </c>
      <c r="G61" s="77"/>
      <c r="H61" s="77"/>
      <c r="I61" s="76"/>
    </row>
    <row r="62" spans="1:9" ht="15.75" x14ac:dyDescent="0.25">
      <c r="A62" s="155"/>
      <c r="B62" s="156" t="s">
        <v>47</v>
      </c>
      <c r="C62" s="157">
        <f>SUM(C49-C56)</f>
        <v>4333566</v>
      </c>
      <c r="D62" s="157">
        <f>SUM(D49-D56)</f>
        <v>4175460</v>
      </c>
      <c r="E62" s="157">
        <f>E49-E56</f>
        <v>6536269</v>
      </c>
      <c r="F62" s="157">
        <f>F49-F56</f>
        <v>6206985</v>
      </c>
      <c r="G62" s="77"/>
      <c r="H62" s="77"/>
      <c r="I62" s="76"/>
    </row>
    <row r="63" spans="1:9" ht="15.75" x14ac:dyDescent="0.25">
      <c r="A63" s="155"/>
      <c r="B63" s="156" t="s">
        <v>48</v>
      </c>
      <c r="C63" s="157">
        <f t="shared" ref="C63:D63" si="7">C62-C61</f>
        <v>-958725</v>
      </c>
      <c r="D63" s="157">
        <f t="shared" si="7"/>
        <v>-923591</v>
      </c>
      <c r="E63" s="157">
        <f>E62-E61</f>
        <v>0</v>
      </c>
      <c r="F63" s="157">
        <f>F61-F62</f>
        <v>-578848</v>
      </c>
      <c r="G63" s="77"/>
      <c r="H63" s="77"/>
      <c r="I63" s="76"/>
    </row>
    <row r="64" spans="1:9" x14ac:dyDescent="0.25">
      <c r="A64" s="155"/>
      <c r="B64" s="158"/>
      <c r="C64" s="159"/>
      <c r="D64" s="159"/>
      <c r="E64" s="159"/>
      <c r="F64" s="159"/>
      <c r="G64" s="77"/>
      <c r="H64" s="77"/>
      <c r="I64" s="76"/>
    </row>
    <row r="65" spans="1:9" x14ac:dyDescent="0.25">
      <c r="A65" s="155"/>
      <c r="B65" s="77"/>
      <c r="C65" s="77"/>
      <c r="D65" s="77"/>
      <c r="E65" s="76"/>
      <c r="F65" s="77"/>
      <c r="G65" s="77"/>
      <c r="H65" s="77"/>
      <c r="I65" s="76"/>
    </row>
    <row r="66" spans="1:9" x14ac:dyDescent="0.25">
      <c r="A66" s="155"/>
      <c r="B66" s="77"/>
      <c r="C66" s="77"/>
      <c r="D66" s="77"/>
      <c r="E66" s="77"/>
      <c r="F66" s="77"/>
      <c r="G66" s="77"/>
      <c r="H66" s="77"/>
      <c r="I66" s="76"/>
    </row>
  </sheetData>
  <mergeCells count="2">
    <mergeCell ref="C41:C46"/>
    <mergeCell ref="D41:D4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3" firstPageNumber="6" orientation="portrait" useFirstPageNumber="1" r:id="rId1"/>
  <headerFooter>
    <oddFooter>&amp;L&amp;"Arial,Kurzíva"Zastupitelstvo Olomouckého kraje 16-12-2019
7. - Rozpočet Olomouckého kraje 2020 - návrh rozpočtu&amp;R&amp;"Arial,Kurzíva"Strana &amp;P (Celkem 140)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5"/>
  <sheetViews>
    <sheetView tabSelected="1" view="pageBreakPreview" topLeftCell="A43" zoomScaleNormal="100" zoomScaleSheetLayoutView="100" workbookViewId="0">
      <selection activeCell="B49" sqref="B49"/>
    </sheetView>
  </sheetViews>
  <sheetFormatPr defaultColWidth="9.140625" defaultRowHeight="15" x14ac:dyDescent="0.25"/>
  <cols>
    <col min="1" max="1" width="5.28515625" style="30" customWidth="1"/>
    <col min="2" max="2" width="56.28515625" style="1" customWidth="1"/>
    <col min="3" max="4" width="18.140625" style="1" hidden="1" customWidth="1"/>
    <col min="5" max="5" width="22.7109375" style="1" customWidth="1"/>
    <col min="6" max="6" width="22.7109375" style="40" hidden="1" customWidth="1"/>
    <col min="7" max="7" width="22.7109375" style="77" customWidth="1"/>
    <col min="8" max="8" width="15.42578125" style="1" customWidth="1"/>
    <col min="9" max="9" width="17.140625" style="1" customWidth="1"/>
    <col min="10" max="10" width="11.7109375" style="10" bestFit="1" customWidth="1"/>
    <col min="11" max="16384" width="9.140625" style="1"/>
  </cols>
  <sheetData>
    <row r="1" spans="1:14" ht="16.5" x14ac:dyDescent="0.25">
      <c r="A1" s="59" t="s">
        <v>571</v>
      </c>
      <c r="B1" s="58"/>
      <c r="C1" s="58"/>
      <c r="D1" s="58"/>
      <c r="E1" s="58"/>
    </row>
    <row r="2" spans="1:14" ht="16.5" thickBot="1" x14ac:dyDescent="0.3">
      <c r="A2" s="35" t="s">
        <v>40</v>
      </c>
      <c r="H2" s="2" t="s">
        <v>0</v>
      </c>
    </row>
    <row r="3" spans="1:14" ht="41.25" customHeight="1" thickTop="1" thickBot="1" x14ac:dyDescent="0.3">
      <c r="A3" s="29" t="s">
        <v>1</v>
      </c>
      <c r="B3" s="25" t="s">
        <v>38</v>
      </c>
      <c r="C3" s="22" t="s">
        <v>80</v>
      </c>
      <c r="D3" s="22" t="s">
        <v>81</v>
      </c>
      <c r="E3" s="22" t="s">
        <v>108</v>
      </c>
      <c r="F3" s="100" t="s">
        <v>109</v>
      </c>
      <c r="G3" s="154" t="s">
        <v>484</v>
      </c>
      <c r="H3" s="198" t="s">
        <v>2</v>
      </c>
    </row>
    <row r="4" spans="1:14" s="3" customFormat="1" ht="12.75" thickTop="1" thickBot="1" x14ac:dyDescent="0.25">
      <c r="A4" s="19">
        <v>1</v>
      </c>
      <c r="B4" s="20">
        <v>2</v>
      </c>
      <c r="C4" s="21">
        <v>3</v>
      </c>
      <c r="D4" s="21">
        <v>4</v>
      </c>
      <c r="E4" s="21">
        <v>3</v>
      </c>
      <c r="F4" s="26">
        <v>4</v>
      </c>
      <c r="G4" s="197">
        <v>5</v>
      </c>
      <c r="H4" s="23" t="s">
        <v>124</v>
      </c>
      <c r="J4" s="27"/>
    </row>
    <row r="5" spans="1:14" s="77" customFormat="1" ht="17.100000000000001" customHeight="1" thickTop="1" x14ac:dyDescent="0.25">
      <c r="A5" s="4">
        <v>1</v>
      </c>
      <c r="B5" s="102" t="s">
        <v>3</v>
      </c>
      <c r="C5" s="103">
        <f>790223+32010+94954+882612+1728918</f>
        <v>3528717</v>
      </c>
      <c r="D5" s="103">
        <f>897745+24607+96841+1000783+2056630</f>
        <v>4076606</v>
      </c>
      <c r="E5" s="959">
        <v>5461152</v>
      </c>
      <c r="F5" s="960">
        <v>4962504</v>
      </c>
      <c r="G5" s="976">
        <v>4962504</v>
      </c>
      <c r="H5" s="160">
        <f>G5/E5*100</f>
        <v>90.869179250092287</v>
      </c>
      <c r="I5" s="195"/>
      <c r="J5" s="87"/>
      <c r="K5" s="40"/>
      <c r="L5" s="40"/>
      <c r="M5" s="40"/>
      <c r="N5" s="40"/>
    </row>
    <row r="6" spans="1:14" s="77" customFormat="1" ht="17.100000000000001" customHeight="1" x14ac:dyDescent="0.25">
      <c r="A6" s="6">
        <v>2</v>
      </c>
      <c r="B6" s="7" t="s">
        <v>4</v>
      </c>
      <c r="C6" s="104">
        <v>1343</v>
      </c>
      <c r="D6" s="104">
        <f>149+57+3+291+214+902+127+1</f>
        <v>1744</v>
      </c>
      <c r="E6" s="107">
        <v>1210</v>
      </c>
      <c r="F6" s="961">
        <f>SUM([1]Příjmy!$F$13)</f>
        <v>1185</v>
      </c>
      <c r="G6" s="961">
        <f>SUM([2]Příjmy!$F$13)</f>
        <v>1185</v>
      </c>
      <c r="H6" s="160">
        <f t="shared" ref="H6:H22" si="0">G6/E6*100</f>
        <v>97.933884297520663</v>
      </c>
      <c r="I6" s="196"/>
      <c r="J6" s="87"/>
      <c r="K6" s="40"/>
      <c r="L6" s="40"/>
      <c r="M6" s="40"/>
      <c r="N6" s="40"/>
    </row>
    <row r="7" spans="1:14" s="77" customFormat="1" ht="17.100000000000001" customHeight="1" x14ac:dyDescent="0.25">
      <c r="A7" s="4">
        <v>3</v>
      </c>
      <c r="B7" s="7" t="s">
        <v>51</v>
      </c>
      <c r="C7" s="104">
        <f>907+304</f>
        <v>1211</v>
      </c>
      <c r="D7" s="104">
        <f>1210+7+374</f>
        <v>1591</v>
      </c>
      <c r="E7" s="107">
        <v>1330</v>
      </c>
      <c r="F7" s="961">
        <f>SUM([1]Příjmy!$F$14:$F$15)</f>
        <v>1580</v>
      </c>
      <c r="G7" s="961">
        <f>SUM([2]Příjmy!$F$14:$F$15)</f>
        <v>1580</v>
      </c>
      <c r="H7" s="160">
        <f t="shared" si="0"/>
        <v>118.79699248120301</v>
      </c>
      <c r="I7" s="40"/>
      <c r="J7" s="87"/>
      <c r="K7" s="40"/>
      <c r="L7" s="40"/>
      <c r="M7" s="40"/>
      <c r="N7" s="40"/>
    </row>
    <row r="8" spans="1:14" s="77" customFormat="1" ht="17.100000000000001" customHeight="1" x14ac:dyDescent="0.25">
      <c r="A8" s="6">
        <v>4</v>
      </c>
      <c r="B8" s="8" t="s">
        <v>10</v>
      </c>
      <c r="C8" s="105">
        <v>161961</v>
      </c>
      <c r="D8" s="105">
        <v>168785</v>
      </c>
      <c r="E8" s="106">
        <v>257871</v>
      </c>
      <c r="F8" s="962">
        <f>SUM([1]Příjmy!$F$16)</f>
        <v>267458</v>
      </c>
      <c r="G8" s="962">
        <f>SUM([2]Příjmy!$F$16)</f>
        <v>283803</v>
      </c>
      <c r="H8" s="160">
        <f t="shared" si="0"/>
        <v>110.05619088614074</v>
      </c>
      <c r="I8" s="40"/>
      <c r="J8" s="87"/>
      <c r="K8" s="40"/>
      <c r="L8" s="40"/>
      <c r="M8" s="40"/>
      <c r="N8" s="40"/>
    </row>
    <row r="9" spans="1:14" s="77" customFormat="1" ht="17.100000000000001" customHeight="1" x14ac:dyDescent="0.25">
      <c r="A9" s="4">
        <v>5</v>
      </c>
      <c r="B9" s="7" t="s">
        <v>5</v>
      </c>
      <c r="C9" s="104">
        <f>432+37900+157</f>
        <v>38489</v>
      </c>
      <c r="D9" s="104">
        <f>247+30793+131</f>
        <v>31171</v>
      </c>
      <c r="E9" s="107">
        <v>32657.3</v>
      </c>
      <c r="F9" s="174">
        <f>SUM([1]Příjmy!$F$17:$F$20)</f>
        <v>33258.299999999996</v>
      </c>
      <c r="G9" s="174">
        <f>SUM([2]Příjmy!$F$17:$F$20)</f>
        <v>33258.299999999996</v>
      </c>
      <c r="H9" s="160">
        <f t="shared" si="0"/>
        <v>101.84032360299227</v>
      </c>
      <c r="I9" s="40"/>
      <c r="J9" s="87"/>
      <c r="K9" s="40"/>
      <c r="L9" s="40"/>
      <c r="M9" s="40"/>
      <c r="N9" s="40"/>
    </row>
    <row r="10" spans="1:14" s="77" customFormat="1" ht="17.100000000000001" customHeight="1" x14ac:dyDescent="0.25">
      <c r="A10" s="6">
        <v>6</v>
      </c>
      <c r="B10" s="7" t="s">
        <v>6</v>
      </c>
      <c r="C10" s="104">
        <f t="shared" ref="C10" si="1">512+3443</f>
        <v>3955</v>
      </c>
      <c r="D10" s="104">
        <f>646+3181</f>
        <v>3827</v>
      </c>
      <c r="E10" s="107">
        <v>3025</v>
      </c>
      <c r="F10" s="174">
        <f>SUM([1]Příjmy!$F$21:$F$22)</f>
        <v>2920</v>
      </c>
      <c r="G10" s="174">
        <f>SUM([2]Příjmy!$F$21:$F$22)</f>
        <v>2920</v>
      </c>
      <c r="H10" s="160">
        <f t="shared" si="0"/>
        <v>96.528925619834709</v>
      </c>
      <c r="I10" s="40"/>
      <c r="J10" s="87"/>
      <c r="K10" s="40"/>
      <c r="L10" s="40"/>
      <c r="M10" s="40"/>
      <c r="N10" s="40"/>
    </row>
    <row r="11" spans="1:14" s="77" customFormat="1" ht="17.100000000000001" customHeight="1" x14ac:dyDescent="0.25">
      <c r="A11" s="4">
        <v>7</v>
      </c>
      <c r="B11" s="55" t="s">
        <v>96</v>
      </c>
      <c r="C11" s="104">
        <f>41073</f>
        <v>41073</v>
      </c>
      <c r="D11" s="104">
        <v>40469</v>
      </c>
      <c r="E11" s="107">
        <v>154510</v>
      </c>
      <c r="F11" s="107">
        <f>SUM([1]Příjmy!$F$23,[1]Příjmy!$F$25:$F$29)</f>
        <v>166876</v>
      </c>
      <c r="G11" s="107">
        <f>SUM([2]Příjmy!$F$23,[2]Příjmy!$F$25:$F$30)</f>
        <v>166571</v>
      </c>
      <c r="H11" s="161">
        <f t="shared" si="0"/>
        <v>107.80596725131059</v>
      </c>
      <c r="I11" s="40"/>
      <c r="J11" s="87"/>
      <c r="K11" s="40"/>
      <c r="L11" s="40"/>
      <c r="M11" s="40"/>
      <c r="N11" s="40"/>
    </row>
    <row r="12" spans="1:14" s="79" customFormat="1" ht="17.100000000000001" customHeight="1" x14ac:dyDescent="0.25">
      <c r="A12" s="6">
        <v>8</v>
      </c>
      <c r="B12" s="108" t="s">
        <v>13</v>
      </c>
      <c r="C12" s="104">
        <v>12615</v>
      </c>
      <c r="D12" s="104">
        <v>2818</v>
      </c>
      <c r="E12" s="107">
        <v>1065</v>
      </c>
      <c r="F12" s="107">
        <f>SUM([1]Příjmy!$F$30:$F$31)</f>
        <v>300</v>
      </c>
      <c r="G12" s="107">
        <f>SUM([2]Příjmy!$F$31)</f>
        <v>300</v>
      </c>
      <c r="H12" s="160">
        <f t="shared" si="0"/>
        <v>28.169014084507044</v>
      </c>
      <c r="I12" s="162"/>
      <c r="J12" s="163"/>
      <c r="K12" s="162"/>
      <c r="L12" s="162"/>
      <c r="M12" s="162"/>
      <c r="N12" s="162"/>
    </row>
    <row r="13" spans="1:14" s="77" customFormat="1" ht="17.100000000000001" customHeight="1" x14ac:dyDescent="0.25">
      <c r="A13" s="4">
        <v>9</v>
      </c>
      <c r="B13" s="102" t="s">
        <v>7</v>
      </c>
      <c r="C13" s="103">
        <f>238+14957+75</f>
        <v>15270</v>
      </c>
      <c r="D13" s="103">
        <f>9347+61787+2+28150</f>
        <v>99286</v>
      </c>
      <c r="E13" s="959">
        <v>10210</v>
      </c>
      <c r="F13" s="107">
        <f>SUM([1]Příjmy!$F$32:$F$34,[1]Příjmy!$F$24)</f>
        <v>8360</v>
      </c>
      <c r="G13" s="107">
        <f>SUM([2]Příjmy!$F$24,[2]Příjmy!$F$32:$F$34)</f>
        <v>8360</v>
      </c>
      <c r="H13" s="160">
        <f t="shared" si="0"/>
        <v>81.880509304603336</v>
      </c>
      <c r="I13" s="40"/>
      <c r="J13" s="87"/>
      <c r="K13" s="40"/>
      <c r="L13" s="40"/>
      <c r="M13" s="40"/>
      <c r="N13" s="40"/>
    </row>
    <row r="14" spans="1:14" s="77" customFormat="1" ht="17.100000000000001" customHeight="1" x14ac:dyDescent="0.25">
      <c r="A14" s="6">
        <v>10</v>
      </c>
      <c r="B14" s="7" t="s">
        <v>8</v>
      </c>
      <c r="C14" s="104">
        <v>636</v>
      </c>
      <c r="D14" s="104">
        <v>659</v>
      </c>
      <c r="E14" s="107">
        <v>4000.2</v>
      </c>
      <c r="F14" s="107">
        <f>SUM([1]Příjmy!$F$35)</f>
        <v>500.3</v>
      </c>
      <c r="G14" s="107">
        <f>SUM([2]Příjmy!$F$35)</f>
        <v>500.3</v>
      </c>
      <c r="H14" s="160">
        <f t="shared" si="0"/>
        <v>12.506874656267186</v>
      </c>
      <c r="I14" s="40"/>
      <c r="J14" s="87"/>
      <c r="K14" s="40"/>
      <c r="L14" s="40"/>
      <c r="M14" s="40"/>
      <c r="N14" s="40"/>
    </row>
    <row r="15" spans="1:14" s="77" customFormat="1" ht="17.100000000000001" customHeight="1" x14ac:dyDescent="0.25">
      <c r="A15" s="4">
        <v>11</v>
      </c>
      <c r="B15" s="8" t="s">
        <v>9</v>
      </c>
      <c r="C15" s="105">
        <v>73854</v>
      </c>
      <c r="D15" s="105">
        <v>76028</v>
      </c>
      <c r="E15" s="106">
        <v>109631.5</v>
      </c>
      <c r="F15" s="194">
        <f>SUM([1]Příjmy!$F$36)</f>
        <v>122749.4</v>
      </c>
      <c r="G15" s="174">
        <f>SUM([2]Příjmy!$F$36)</f>
        <v>122749.4</v>
      </c>
      <c r="H15" s="160">
        <f t="shared" si="0"/>
        <v>111.96544788678435</v>
      </c>
      <c r="I15" s="40"/>
      <c r="J15" s="87"/>
      <c r="K15" s="40"/>
      <c r="L15" s="40"/>
      <c r="M15" s="40"/>
      <c r="N15" s="40"/>
    </row>
    <row r="16" spans="1:14" s="77" customFormat="1" ht="17.100000000000001" customHeight="1" x14ac:dyDescent="0.25">
      <c r="A16" s="6">
        <v>12</v>
      </c>
      <c r="B16" s="8" t="s">
        <v>123</v>
      </c>
      <c r="C16" s="105"/>
      <c r="D16" s="105"/>
      <c r="E16" s="106">
        <v>0</v>
      </c>
      <c r="F16" s="194"/>
      <c r="G16" s="174">
        <f>SUM([2]Příjmy!$F$37)</f>
        <v>212215</v>
      </c>
      <c r="H16" s="160"/>
      <c r="I16" s="40"/>
      <c r="J16" s="87"/>
      <c r="K16" s="40"/>
      <c r="L16" s="40"/>
      <c r="M16" s="40"/>
      <c r="N16" s="40"/>
    </row>
    <row r="17" spans="1:14" s="77" customFormat="1" ht="17.100000000000001" customHeight="1" x14ac:dyDescent="0.25">
      <c r="A17" s="4">
        <v>13</v>
      </c>
      <c r="B17" s="8" t="s">
        <v>100</v>
      </c>
      <c r="C17" s="105"/>
      <c r="D17" s="105"/>
      <c r="E17" s="106">
        <v>25012</v>
      </c>
      <c r="F17" s="174">
        <f>SUM([1]Příjmy!$F$37)</f>
        <v>26142</v>
      </c>
      <c r="G17" s="174">
        <f>SUM([2]Příjmy!$F$38)</f>
        <v>26142</v>
      </c>
      <c r="H17" s="160">
        <f t="shared" si="0"/>
        <v>104.51783144090837</v>
      </c>
      <c r="I17" s="40"/>
      <c r="J17" s="87"/>
      <c r="K17" s="40"/>
      <c r="L17" s="40"/>
      <c r="M17" s="40"/>
      <c r="N17" s="40"/>
    </row>
    <row r="18" spans="1:14" s="77" customFormat="1" ht="17.100000000000001" customHeight="1" x14ac:dyDescent="0.25">
      <c r="A18" s="6">
        <v>14</v>
      </c>
      <c r="B18" s="8" t="s">
        <v>11</v>
      </c>
      <c r="C18" s="105">
        <v>7280</v>
      </c>
      <c r="D18" s="105">
        <v>7780</v>
      </c>
      <c r="E18" s="106">
        <v>10529</v>
      </c>
      <c r="F18" s="107">
        <f>SUM([1]Příjmy!$F$47)</f>
        <v>12818</v>
      </c>
      <c r="G18" s="107">
        <v>11062</v>
      </c>
      <c r="H18" s="160">
        <f t="shared" si="0"/>
        <v>105.06220913667015</v>
      </c>
      <c r="I18" s="40"/>
      <c r="J18" s="87"/>
      <c r="K18" s="40"/>
      <c r="L18" s="40"/>
      <c r="M18" s="40"/>
      <c r="N18" s="40"/>
    </row>
    <row r="19" spans="1:14" s="92" customFormat="1" ht="27.75" customHeight="1" x14ac:dyDescent="0.2">
      <c r="A19" s="4">
        <v>15</v>
      </c>
      <c r="B19" s="8" t="s">
        <v>12</v>
      </c>
      <c r="C19" s="105">
        <v>63636</v>
      </c>
      <c r="D19" s="105">
        <v>65018</v>
      </c>
      <c r="E19" s="106">
        <v>34000</v>
      </c>
      <c r="F19" s="962">
        <f>SUM([1]Příjmy!$F$65)</f>
        <v>34300</v>
      </c>
      <c r="G19" s="962">
        <f>SUM([1]Příjmy!$F$65)</f>
        <v>34300</v>
      </c>
      <c r="H19" s="164">
        <f t="shared" si="0"/>
        <v>100.88235294117646</v>
      </c>
      <c r="I19" s="85"/>
      <c r="J19" s="165"/>
      <c r="K19" s="85"/>
      <c r="L19" s="85"/>
      <c r="M19" s="85"/>
      <c r="N19" s="85"/>
    </row>
    <row r="20" spans="1:14" s="94" customFormat="1" ht="24.95" customHeight="1" x14ac:dyDescent="0.25">
      <c r="A20" s="9">
        <v>16</v>
      </c>
      <c r="B20" s="109" t="s">
        <v>14</v>
      </c>
      <c r="C20" s="110">
        <f t="shared" ref="C20:F20" si="2">SUM(C5:C19)</f>
        <v>3950040</v>
      </c>
      <c r="D20" s="110">
        <f t="shared" si="2"/>
        <v>4575782</v>
      </c>
      <c r="E20" s="963">
        <f t="shared" si="2"/>
        <v>6106203</v>
      </c>
      <c r="F20" s="963">
        <f t="shared" si="2"/>
        <v>5640951</v>
      </c>
      <c r="G20" s="963">
        <f>SUM(G5:G19)</f>
        <v>5867450</v>
      </c>
      <c r="H20" s="166">
        <f t="shared" si="0"/>
        <v>96.089992422459588</v>
      </c>
      <c r="I20" s="167"/>
      <c r="J20" s="168"/>
      <c r="K20" s="167"/>
      <c r="L20" s="167"/>
      <c r="M20" s="167"/>
      <c r="N20" s="167"/>
    </row>
    <row r="21" spans="1:14" s="80" customFormat="1" ht="17.100000000000001" customHeight="1" x14ac:dyDescent="0.2">
      <c r="A21" s="9">
        <v>17</v>
      </c>
      <c r="B21" s="111" t="s">
        <v>15</v>
      </c>
      <c r="C21" s="112">
        <v>-6424</v>
      </c>
      <c r="D21" s="112">
        <v>-7171</v>
      </c>
      <c r="E21" s="964">
        <v>-10527</v>
      </c>
      <c r="F21" s="965">
        <v>-12814</v>
      </c>
      <c r="G21" s="965">
        <v>-11058</v>
      </c>
      <c r="H21" s="169">
        <f t="shared" si="0"/>
        <v>105.04417212881162</v>
      </c>
      <c r="I21" s="113"/>
      <c r="J21" s="121"/>
      <c r="K21" s="113"/>
      <c r="L21" s="113"/>
      <c r="M21" s="113"/>
      <c r="N21" s="113"/>
    </row>
    <row r="22" spans="1:14" s="77" customFormat="1" ht="24.75" customHeight="1" thickBot="1" x14ac:dyDescent="0.3">
      <c r="A22" s="114">
        <v>18</v>
      </c>
      <c r="B22" s="115" t="s">
        <v>19</v>
      </c>
      <c r="C22" s="116">
        <f t="shared" ref="C22:D22" si="3">SUM(C20:C21)</f>
        <v>3943616</v>
      </c>
      <c r="D22" s="116">
        <f t="shared" si="3"/>
        <v>4568611</v>
      </c>
      <c r="E22" s="966">
        <f>SUM(E20:E21)</f>
        <v>6095676</v>
      </c>
      <c r="F22" s="966">
        <f>SUM(F20:F21)</f>
        <v>5628137</v>
      </c>
      <c r="G22" s="966">
        <f>SUM(G20:G21)</f>
        <v>5856392</v>
      </c>
      <c r="H22" s="170">
        <f t="shared" si="0"/>
        <v>96.074528895564654</v>
      </c>
      <c r="I22" s="87"/>
      <c r="J22" s="87"/>
      <c r="K22" s="40"/>
      <c r="L22" s="40"/>
      <c r="M22" s="40"/>
      <c r="N22" s="40"/>
    </row>
    <row r="23" spans="1:14" ht="15.75" thickTop="1" x14ac:dyDescent="0.25">
      <c r="C23" s="40"/>
      <c r="E23" s="967"/>
      <c r="F23" s="968"/>
      <c r="G23" s="968"/>
    </row>
    <row r="24" spans="1:14" ht="16.5" thickBot="1" x14ac:dyDescent="0.3">
      <c r="A24" s="34" t="s">
        <v>39</v>
      </c>
      <c r="B24" s="11"/>
      <c r="C24" s="40"/>
      <c r="E24" s="967"/>
      <c r="F24" s="968"/>
      <c r="G24" s="969"/>
      <c r="H24" s="2" t="s">
        <v>0</v>
      </c>
    </row>
    <row r="25" spans="1:14" s="12" customFormat="1" ht="38.25" customHeight="1" thickTop="1" thickBot="1" x14ac:dyDescent="0.25">
      <c r="A25" s="31" t="s">
        <v>1</v>
      </c>
      <c r="B25" s="17" t="s">
        <v>16</v>
      </c>
      <c r="C25" s="22" t="s">
        <v>80</v>
      </c>
      <c r="D25" s="22" t="s">
        <v>81</v>
      </c>
      <c r="E25" s="970" t="s">
        <v>108</v>
      </c>
      <c r="F25" s="971" t="s">
        <v>109</v>
      </c>
      <c r="G25" s="1009" t="s">
        <v>514</v>
      </c>
      <c r="H25" s="198" t="s">
        <v>2</v>
      </c>
      <c r="I25" s="48"/>
      <c r="J25" s="28"/>
    </row>
    <row r="26" spans="1:14" s="3" customFormat="1" ht="12.75" thickTop="1" thickBot="1" x14ac:dyDescent="0.25">
      <c r="A26" s="19">
        <v>1</v>
      </c>
      <c r="B26" s="20">
        <v>2</v>
      </c>
      <c r="C26" s="21">
        <v>3</v>
      </c>
      <c r="D26" s="21">
        <v>4</v>
      </c>
      <c r="E26" s="1004">
        <v>3</v>
      </c>
      <c r="F26" s="1005">
        <v>4</v>
      </c>
      <c r="G26" s="1006">
        <v>5</v>
      </c>
      <c r="H26" s="207" t="s">
        <v>124</v>
      </c>
      <c r="I26" s="49"/>
      <c r="J26" s="27"/>
    </row>
    <row r="27" spans="1:14" s="40" customFormat="1" ht="17.100000000000001" customHeight="1" thickTop="1" x14ac:dyDescent="0.25">
      <c r="A27" s="4">
        <v>1</v>
      </c>
      <c r="B27" s="90" t="s">
        <v>82</v>
      </c>
      <c r="C27" s="37">
        <f>SUM([3]celkem!$D$24)</f>
        <v>529104</v>
      </c>
      <c r="D27" s="37">
        <f>SUM([3]celkem!$E$24)</f>
        <v>561055</v>
      </c>
      <c r="E27" s="973">
        <v>961641</v>
      </c>
      <c r="F27" s="974">
        <f>SUM([4]celkem!$H$23)</f>
        <v>884329</v>
      </c>
      <c r="G27" s="974">
        <f>SUM([5]celkem!$H$23)</f>
        <v>932961</v>
      </c>
      <c r="H27" s="160">
        <f t="shared" ref="H27:H51" si="4">G27/E27*100</f>
        <v>97.017598043344648</v>
      </c>
      <c r="I27" s="86"/>
      <c r="J27" s="87"/>
    </row>
    <row r="28" spans="1:14" s="40" customFormat="1" ht="17.100000000000001" customHeight="1" x14ac:dyDescent="0.25">
      <c r="A28" s="4"/>
      <c r="B28" s="909" t="s">
        <v>492</v>
      </c>
      <c r="C28" s="910"/>
      <c r="D28" s="910"/>
      <c r="E28" s="975">
        <f>SUM('b) Výdaje'!F27)</f>
        <v>585091</v>
      </c>
      <c r="F28" s="975"/>
      <c r="G28" s="975">
        <f>SUM('b) Výdaje'!H27)</f>
        <v>541881</v>
      </c>
      <c r="H28" s="911">
        <f t="shared" si="4"/>
        <v>92.614824018827846</v>
      </c>
      <c r="I28" s="86"/>
      <c r="J28" s="87"/>
    </row>
    <row r="29" spans="1:14" s="40" customFormat="1" ht="36" customHeight="1" x14ac:dyDescent="0.25">
      <c r="A29" s="4"/>
      <c r="B29" s="1003" t="s">
        <v>515</v>
      </c>
      <c r="C29" s="910"/>
      <c r="D29" s="910"/>
      <c r="E29" s="975">
        <f>SUM('b) Výdaje'!F28)</f>
        <v>376550</v>
      </c>
      <c r="F29" s="975"/>
      <c r="G29" s="975">
        <f>SUM('b) Výdaje'!H28)</f>
        <v>391080</v>
      </c>
      <c r="H29" s="911">
        <f t="shared" si="4"/>
        <v>103.85871730181915</v>
      </c>
      <c r="I29" s="86"/>
      <c r="J29" s="87"/>
    </row>
    <row r="30" spans="1:14" s="51" customFormat="1" ht="17.100000000000001" customHeight="1" x14ac:dyDescent="0.25">
      <c r="A30" s="73">
        <v>2</v>
      </c>
      <c r="B30" s="74" t="s">
        <v>54</v>
      </c>
      <c r="C30" s="39">
        <v>276809</v>
      </c>
      <c r="D30" s="39">
        <f>SUM([6]rekapitulace!$E$108)</f>
        <v>0</v>
      </c>
      <c r="E30" s="976">
        <v>630915</v>
      </c>
      <c r="F30" s="974">
        <f>SUM([7]rekapitulace!$G$139)</f>
        <v>778658</v>
      </c>
      <c r="G30" s="974">
        <f>SUM([8]rekapitulace!$G$125)</f>
        <v>439507</v>
      </c>
      <c r="H30" s="160">
        <f t="shared" si="4"/>
        <v>69.661840342993912</v>
      </c>
      <c r="I30" s="172"/>
      <c r="J30" s="101"/>
    </row>
    <row r="31" spans="1:14" s="77" customFormat="1" ht="17.100000000000001" customHeight="1" x14ac:dyDescent="0.25">
      <c r="A31" s="54">
        <v>3</v>
      </c>
      <c r="B31" s="55" t="s">
        <v>65</v>
      </c>
      <c r="C31" s="13">
        <f>SUM(C32,C40)</f>
        <v>2297356</v>
      </c>
      <c r="D31" s="13">
        <f>SUM(D32,D40)</f>
        <v>2401685</v>
      </c>
      <c r="E31" s="174">
        <f>SUM(E32,E39,E40)</f>
        <v>3385644</v>
      </c>
      <c r="F31" s="174" t="e">
        <f>SUM(F32,F39,F40,#REF!)</f>
        <v>#REF!</v>
      </c>
      <c r="G31" s="174">
        <f>SUM(G32,G39,G40)</f>
        <v>3455913</v>
      </c>
      <c r="H31" s="160">
        <f t="shared" si="4"/>
        <v>102.07549878250637</v>
      </c>
      <c r="I31" s="86"/>
      <c r="J31" s="87"/>
      <c r="K31" s="76"/>
    </row>
    <row r="32" spans="1:14" s="77" customFormat="1" ht="17.100000000000001" customHeight="1" x14ac:dyDescent="0.25">
      <c r="A32" s="147"/>
      <c r="B32" s="55" t="s">
        <v>66</v>
      </c>
      <c r="C32" s="38">
        <f>SUM(C33:C38)</f>
        <v>1412556</v>
      </c>
      <c r="D32" s="38">
        <f t="shared" ref="D32:E32" si="5">SUM(D33:D38)</f>
        <v>1483580</v>
      </c>
      <c r="E32" s="977">
        <f t="shared" si="5"/>
        <v>1944879</v>
      </c>
      <c r="F32" s="977">
        <f>SUM(F33:F38)</f>
        <v>2024058</v>
      </c>
      <c r="G32" s="977">
        <f>SUM(G33:G38)</f>
        <v>1993026</v>
      </c>
      <c r="H32" s="160">
        <f t="shared" si="4"/>
        <v>102.47557817221534</v>
      </c>
      <c r="I32" s="86"/>
      <c r="J32" s="87"/>
      <c r="K32" s="76"/>
    </row>
    <row r="33" spans="1:10" s="77" customFormat="1" ht="17.100000000000001" customHeight="1" x14ac:dyDescent="0.25">
      <c r="A33" s="147"/>
      <c r="B33" s="56" t="s">
        <v>41</v>
      </c>
      <c r="C33" s="32">
        <v>911473</v>
      </c>
      <c r="D33" s="32">
        <v>936931</v>
      </c>
      <c r="E33" s="978">
        <v>632968</v>
      </c>
      <c r="F33" s="978">
        <f>SUM('[9]Sumář celkem'!$H$65)</f>
        <v>612867</v>
      </c>
      <c r="G33" s="975">
        <f>SUM('[10]Sumář celkem'!$H$65)</f>
        <v>599238</v>
      </c>
      <c r="H33" s="160">
        <f t="shared" si="4"/>
        <v>94.671136613541279</v>
      </c>
      <c r="I33" s="86"/>
      <c r="J33" s="87"/>
    </row>
    <row r="34" spans="1:10" s="77" customFormat="1" ht="17.100000000000001" customHeight="1" x14ac:dyDescent="0.25">
      <c r="A34" s="147"/>
      <c r="B34" s="56" t="s">
        <v>43</v>
      </c>
      <c r="C34" s="32">
        <v>203064</v>
      </c>
      <c r="D34" s="32">
        <v>214886</v>
      </c>
      <c r="E34" s="978">
        <v>867784</v>
      </c>
      <c r="F34" s="978">
        <f>SUM('[9]Sumář celkem'!$H$66)</f>
        <v>939668</v>
      </c>
      <c r="G34" s="975">
        <f>SUM('[10]Sumář celkem'!$H$66)</f>
        <v>930978</v>
      </c>
      <c r="H34" s="160">
        <f t="shared" si="4"/>
        <v>107.28222691360985</v>
      </c>
      <c r="I34" s="86"/>
      <c r="J34" s="87"/>
    </row>
    <row r="35" spans="1:10" s="77" customFormat="1" ht="17.100000000000001" customHeight="1" x14ac:dyDescent="0.25">
      <c r="A35" s="147"/>
      <c r="B35" s="56" t="s">
        <v>42</v>
      </c>
      <c r="C35" s="32">
        <v>286197</v>
      </c>
      <c r="D35" s="32">
        <v>309963</v>
      </c>
      <c r="E35" s="978">
        <v>422311</v>
      </c>
      <c r="F35" s="978">
        <f>SUM('[9]Sumář celkem'!$H$67)</f>
        <v>437981</v>
      </c>
      <c r="G35" s="975">
        <f>SUM('[10]Sumář celkem'!$H$67)</f>
        <v>437981</v>
      </c>
      <c r="H35" s="161">
        <f t="shared" si="4"/>
        <v>103.71053560054084</v>
      </c>
      <c r="I35" s="86"/>
      <c r="J35" s="87"/>
    </row>
    <row r="36" spans="1:10" s="77" customFormat="1" ht="17.100000000000001" customHeight="1" x14ac:dyDescent="0.25">
      <c r="A36" s="148"/>
      <c r="B36" s="57" t="s">
        <v>52</v>
      </c>
      <c r="C36" s="88">
        <v>1793</v>
      </c>
      <c r="D36" s="88">
        <v>19856</v>
      </c>
      <c r="E36" s="979">
        <v>0</v>
      </c>
      <c r="F36" s="980">
        <f>SUM('[9]Sumář celkem'!$H$68)</f>
        <v>11530</v>
      </c>
      <c r="G36" s="978">
        <f>SUM('[10]Sumář celkem'!$H$68)</f>
        <v>2817</v>
      </c>
      <c r="H36" s="160"/>
      <c r="I36" s="87"/>
      <c r="J36" s="87"/>
    </row>
    <row r="37" spans="1:10" s="77" customFormat="1" ht="17.100000000000001" customHeight="1" x14ac:dyDescent="0.25">
      <c r="A37" s="147"/>
      <c r="B37" s="56" t="s">
        <v>44</v>
      </c>
      <c r="C37" s="32">
        <f>9849+180</f>
        <v>10029</v>
      </c>
      <c r="D37" s="32">
        <f>1744+200</f>
        <v>1944</v>
      </c>
      <c r="E37" s="978">
        <v>2056</v>
      </c>
      <c r="F37" s="978">
        <f>SUM('[9]Sumář celkem'!$H$69:$H$71)</f>
        <v>2012</v>
      </c>
      <c r="G37" s="975">
        <f>SUM('[10]Sumář celkem'!$H$69:$H$71)</f>
        <v>2012</v>
      </c>
      <c r="H37" s="160">
        <f t="shared" si="4"/>
        <v>97.859922178988327</v>
      </c>
      <c r="I37" s="86"/>
      <c r="J37" s="87"/>
    </row>
    <row r="38" spans="1:10" s="77" customFormat="1" ht="17.100000000000001" customHeight="1" x14ac:dyDescent="0.25">
      <c r="A38" s="147"/>
      <c r="B38" s="56" t="s">
        <v>53</v>
      </c>
      <c r="C38" s="32">
        <v>0</v>
      </c>
      <c r="D38" s="32">
        <v>0</v>
      </c>
      <c r="E38" s="978">
        <v>19760</v>
      </c>
      <c r="F38" s="978">
        <f>SUM('[9]Sumář celkem'!$H$72)</f>
        <v>20000</v>
      </c>
      <c r="G38" s="975">
        <f>SUM('[10]Sumář celkem'!$H$72)</f>
        <v>20000</v>
      </c>
      <c r="H38" s="160">
        <f t="shared" si="4"/>
        <v>101.21457489878543</v>
      </c>
      <c r="I38" s="86"/>
      <c r="J38" s="87"/>
    </row>
    <row r="39" spans="1:10" s="77" customFormat="1" ht="17.100000000000001" customHeight="1" x14ac:dyDescent="0.25">
      <c r="A39" s="147"/>
      <c r="B39" s="55" t="s">
        <v>94</v>
      </c>
      <c r="C39" s="32"/>
      <c r="D39" s="32"/>
      <c r="E39" s="977">
        <v>565</v>
      </c>
      <c r="F39" s="977">
        <f>SUM('[9]Sumář celkem'!$H$76)</f>
        <v>595</v>
      </c>
      <c r="G39" s="981">
        <f>SUM('[10]Sumář celkem'!$H$74)</f>
        <v>595</v>
      </c>
      <c r="H39" s="160">
        <f t="shared" si="4"/>
        <v>105.30973451327435</v>
      </c>
      <c r="I39" s="75"/>
      <c r="J39" s="76"/>
    </row>
    <row r="40" spans="1:10" s="77" customFormat="1" ht="17.100000000000001" customHeight="1" x14ac:dyDescent="0.25">
      <c r="A40" s="147"/>
      <c r="B40" s="56" t="s">
        <v>95</v>
      </c>
      <c r="C40" s="38">
        <v>884800</v>
      </c>
      <c r="D40" s="38">
        <v>918105</v>
      </c>
      <c r="E40" s="977">
        <v>1440200</v>
      </c>
      <c r="F40" s="977">
        <f>SUM('[9]Sumář celkem'!$H$77)</f>
        <v>1462292</v>
      </c>
      <c r="G40" s="981">
        <f>SUM('[10]Sumář celkem'!$H$77)</f>
        <v>1462292</v>
      </c>
      <c r="H40" s="160">
        <f t="shared" si="4"/>
        <v>101.53395361755311</v>
      </c>
      <c r="I40" s="75"/>
      <c r="J40" s="76"/>
    </row>
    <row r="41" spans="1:10" s="40" customFormat="1" ht="17.100000000000001" customHeight="1" x14ac:dyDescent="0.25">
      <c r="A41" s="4">
        <v>4</v>
      </c>
      <c r="B41" s="7" t="s">
        <v>17</v>
      </c>
      <c r="C41" s="13">
        <v>6748</v>
      </c>
      <c r="D41" s="13">
        <v>8561</v>
      </c>
      <c r="E41" s="174">
        <v>10529</v>
      </c>
      <c r="F41" s="982">
        <f>SUM('[11]ORJ - 199'!$G$15)</f>
        <v>12818</v>
      </c>
      <c r="G41" s="974">
        <f>SUM('e) FSP'!$G$15)</f>
        <v>11062</v>
      </c>
      <c r="H41" s="160">
        <f t="shared" si="4"/>
        <v>105.06220913667015</v>
      </c>
      <c r="I41" s="75"/>
      <c r="J41" s="76"/>
    </row>
    <row r="42" spans="1:10" s="85" customFormat="1" ht="31.5" customHeight="1" x14ac:dyDescent="0.2">
      <c r="A42" s="6">
        <v>5</v>
      </c>
      <c r="B42" s="8" t="s">
        <v>12</v>
      </c>
      <c r="C42" s="14">
        <v>76597</v>
      </c>
      <c r="D42" s="14">
        <v>54670</v>
      </c>
      <c r="E42" s="962">
        <v>34000</v>
      </c>
      <c r="F42" s="983">
        <f>SUM('[12]ORJ - 99'!$F$14)</f>
        <v>34300</v>
      </c>
      <c r="G42" s="984">
        <f>SUM('f) Fond voda'!$F$14)</f>
        <v>34300</v>
      </c>
      <c r="H42" s="164">
        <f t="shared" si="4"/>
        <v>100.88235294117646</v>
      </c>
      <c r="I42" s="84"/>
      <c r="J42" s="93"/>
    </row>
    <row r="43" spans="1:10" s="79" customFormat="1" ht="17.100000000000001" customHeight="1" x14ac:dyDescent="0.25">
      <c r="A43" s="6">
        <v>6</v>
      </c>
      <c r="B43" s="132" t="s">
        <v>64</v>
      </c>
      <c r="C43" s="1022">
        <v>915943</v>
      </c>
      <c r="D43" s="1022">
        <v>937630</v>
      </c>
      <c r="E43" s="962">
        <f>SUM(E44:E48)</f>
        <v>1177726</v>
      </c>
      <c r="F43" s="962">
        <f>SUM(F44:F45)</f>
        <v>1486706.85</v>
      </c>
      <c r="G43" s="962">
        <f>SUM(G44:G45,G47:G48)</f>
        <v>1093366</v>
      </c>
      <c r="H43" s="164">
        <f t="shared" si="4"/>
        <v>92.837043590784276</v>
      </c>
      <c r="I43" s="149"/>
      <c r="J43" s="78"/>
    </row>
    <row r="44" spans="1:10" s="79" customFormat="1" ht="17.100000000000001" customHeight="1" x14ac:dyDescent="0.25">
      <c r="A44" s="4"/>
      <c r="B44" s="133" t="s">
        <v>55</v>
      </c>
      <c r="C44" s="1023"/>
      <c r="D44" s="1023"/>
      <c r="E44" s="985">
        <v>778157</v>
      </c>
      <c r="F44" s="985">
        <f>SUM([13]Souhrn!$J$5)</f>
        <v>600808</v>
      </c>
      <c r="G44" s="985">
        <v>331083</v>
      </c>
      <c r="H44" s="203">
        <f t="shared" si="4"/>
        <v>42.547069550232152</v>
      </c>
      <c r="I44" s="163"/>
      <c r="J44" s="78"/>
    </row>
    <row r="45" spans="1:10" s="79" customFormat="1" ht="17.100000000000001" customHeight="1" x14ac:dyDescent="0.25">
      <c r="A45" s="4"/>
      <c r="B45" s="133" t="s">
        <v>83</v>
      </c>
      <c r="C45" s="1023"/>
      <c r="D45" s="1023"/>
      <c r="E45" s="985">
        <v>399569</v>
      </c>
      <c r="F45" s="985">
        <f>SUM([13]Souhrn!$J$8)</f>
        <v>885898.85</v>
      </c>
      <c r="G45" s="985">
        <v>722929</v>
      </c>
      <c r="H45" s="203">
        <f t="shared" si="4"/>
        <v>180.92719905698388</v>
      </c>
      <c r="I45" s="149"/>
      <c r="J45" s="78"/>
    </row>
    <row r="46" spans="1:10" s="79" customFormat="1" ht="17.100000000000001" customHeight="1" x14ac:dyDescent="0.25">
      <c r="A46" s="4"/>
      <c r="B46" s="1010" t="s">
        <v>112</v>
      </c>
      <c r="C46" s="1023"/>
      <c r="D46" s="1023"/>
      <c r="E46" s="1157">
        <v>0</v>
      </c>
      <c r="F46" s="985">
        <f>SUM([13]Souhrn!$H$13)</f>
        <v>484721.35</v>
      </c>
      <c r="G46" s="1157">
        <v>348282</v>
      </c>
      <c r="H46" s="203"/>
      <c r="I46" s="149"/>
      <c r="J46" s="78"/>
    </row>
    <row r="47" spans="1:10" s="79" customFormat="1" ht="17.100000000000001" customHeight="1" x14ac:dyDescent="0.25">
      <c r="A47" s="4"/>
      <c r="B47" s="133" t="s">
        <v>56</v>
      </c>
      <c r="C47" s="1023"/>
      <c r="D47" s="1023"/>
      <c r="E47" s="986">
        <v>0</v>
      </c>
      <c r="F47" s="986">
        <v>0</v>
      </c>
      <c r="G47" s="986">
        <v>3667</v>
      </c>
      <c r="H47" s="203"/>
      <c r="I47" s="149"/>
      <c r="J47" s="78"/>
    </row>
    <row r="48" spans="1:10" s="79" customFormat="1" ht="17.100000000000001" customHeight="1" x14ac:dyDescent="0.25">
      <c r="A48" s="4"/>
      <c r="B48" s="138" t="s">
        <v>99</v>
      </c>
      <c r="C48" s="1024"/>
      <c r="D48" s="1024"/>
      <c r="E48" s="986">
        <v>0</v>
      </c>
      <c r="F48" s="986">
        <f>SUM([13]Souhrn!$J$12)</f>
        <v>0</v>
      </c>
      <c r="G48" s="986">
        <v>35687</v>
      </c>
      <c r="H48" s="203"/>
      <c r="I48" s="149"/>
      <c r="J48" s="78"/>
    </row>
    <row r="49" spans="1:10" s="77" customFormat="1" ht="24.95" customHeight="1" x14ac:dyDescent="0.25">
      <c r="A49" s="9">
        <v>7</v>
      </c>
      <c r="B49" s="15" t="s">
        <v>18</v>
      </c>
      <c r="C49" s="16">
        <f>SUM(C27,C30,C31,C41,C42,C43)</f>
        <v>4102557</v>
      </c>
      <c r="D49" s="16">
        <f>SUM(D27,D30,D31,D41,D42,D43)</f>
        <v>3963601</v>
      </c>
      <c r="E49" s="987">
        <f>SUM(E27,E30:E31,E41:E43)</f>
        <v>6200455</v>
      </c>
      <c r="F49" s="987" t="e">
        <f t="shared" ref="F49:G49" si="6">SUM(F27,F30:F31,F41:F43)</f>
        <v>#REF!</v>
      </c>
      <c r="G49" s="987">
        <f t="shared" si="6"/>
        <v>5967109</v>
      </c>
      <c r="H49" s="204">
        <f t="shared" si="4"/>
        <v>96.236631021433112</v>
      </c>
      <c r="I49" s="86"/>
      <c r="J49" s="76"/>
    </row>
    <row r="50" spans="1:10" s="80" customFormat="1" ht="17.100000000000001" customHeight="1" x14ac:dyDescent="0.2">
      <c r="A50" s="9">
        <v>8</v>
      </c>
      <c r="B50" s="97" t="s">
        <v>15</v>
      </c>
      <c r="C50" s="95">
        <v>-6424</v>
      </c>
      <c r="D50" s="95">
        <v>-7171</v>
      </c>
      <c r="E50" s="988">
        <v>-10527</v>
      </c>
      <c r="F50" s="989">
        <v>-12814</v>
      </c>
      <c r="G50" s="989">
        <v>-11058</v>
      </c>
      <c r="H50" s="205">
        <f t="shared" si="4"/>
        <v>105.04417212881162</v>
      </c>
      <c r="I50" s="120"/>
      <c r="J50" s="24"/>
    </row>
    <row r="51" spans="1:10" s="82" customFormat="1" ht="24.95" customHeight="1" thickBot="1" x14ac:dyDescent="0.3">
      <c r="A51" s="98">
        <v>9</v>
      </c>
      <c r="B51" s="99" t="s">
        <v>37</v>
      </c>
      <c r="C51" s="96">
        <f t="shared" ref="C51" si="7">SUM(C49:C50)</f>
        <v>4096133</v>
      </c>
      <c r="D51" s="96">
        <f t="shared" ref="D51:F51" si="8">SUM(D49:D50)</f>
        <v>3956430</v>
      </c>
      <c r="E51" s="990">
        <f t="shared" si="8"/>
        <v>6189928</v>
      </c>
      <c r="F51" s="990" t="e">
        <f t="shared" si="8"/>
        <v>#REF!</v>
      </c>
      <c r="G51" s="990">
        <f>SUM(G49:G50)</f>
        <v>5956051</v>
      </c>
      <c r="H51" s="206">
        <f t="shared" si="4"/>
        <v>96.221652335859147</v>
      </c>
      <c r="I51" s="151"/>
      <c r="J51" s="81"/>
    </row>
    <row r="52" spans="1:10" s="40" customFormat="1" ht="15.75" thickTop="1" x14ac:dyDescent="0.25">
      <c r="E52" s="968"/>
      <c r="F52" s="968"/>
      <c r="G52" s="969"/>
      <c r="H52" s="87"/>
      <c r="I52" s="86"/>
      <c r="J52" s="87"/>
    </row>
    <row r="53" spans="1:10" s="40" customFormat="1" ht="16.5" thickBot="1" x14ac:dyDescent="0.3">
      <c r="A53" s="36" t="s">
        <v>45</v>
      </c>
      <c r="B53" s="152"/>
      <c r="E53" s="968"/>
      <c r="F53" s="968"/>
      <c r="G53" s="969"/>
      <c r="H53" s="153" t="s">
        <v>0</v>
      </c>
      <c r="I53" s="86"/>
      <c r="J53" s="87"/>
    </row>
    <row r="54" spans="1:10" s="12" customFormat="1" ht="38.25" customHeight="1" thickTop="1" thickBot="1" x14ac:dyDescent="0.25">
      <c r="A54" s="31" t="s">
        <v>1</v>
      </c>
      <c r="B54" s="17" t="s">
        <v>16</v>
      </c>
      <c r="C54" s="154" t="s">
        <v>80</v>
      </c>
      <c r="D54" s="154" t="s">
        <v>81</v>
      </c>
      <c r="E54" s="970" t="s">
        <v>108</v>
      </c>
      <c r="F54" s="991" t="s">
        <v>109</v>
      </c>
      <c r="G54" s="972" t="s">
        <v>514</v>
      </c>
      <c r="H54" s="198" t="s">
        <v>2</v>
      </c>
      <c r="I54" s="48"/>
      <c r="J54" s="28"/>
    </row>
    <row r="55" spans="1:10" s="3" customFormat="1" ht="12.75" thickTop="1" thickBot="1" x14ac:dyDescent="0.25">
      <c r="A55" s="19">
        <v>1</v>
      </c>
      <c r="B55" s="20">
        <v>2</v>
      </c>
      <c r="C55" s="21">
        <v>3</v>
      </c>
      <c r="D55" s="21">
        <v>4</v>
      </c>
      <c r="E55" s="1004">
        <v>3</v>
      </c>
      <c r="F55" s="1005">
        <v>4</v>
      </c>
      <c r="G55" s="1006">
        <v>5</v>
      </c>
      <c r="H55" s="1007" t="s">
        <v>124</v>
      </c>
      <c r="I55" s="49"/>
      <c r="J55" s="27"/>
    </row>
    <row r="56" spans="1:10" s="113" customFormat="1" ht="31.5" customHeight="1" thickTop="1" x14ac:dyDescent="0.2">
      <c r="A56" s="128">
        <v>1</v>
      </c>
      <c r="B56" s="129" t="s">
        <v>21</v>
      </c>
      <c r="C56" s="130">
        <v>818235</v>
      </c>
      <c r="D56" s="130">
        <v>530440</v>
      </c>
      <c r="E56" s="992">
        <v>440593</v>
      </c>
      <c r="F56" s="993">
        <f>SUM('[14]zůstatek na účtu'!$G$13)</f>
        <v>0</v>
      </c>
      <c r="G56" s="973">
        <f>SUM('[15]zůstatek na účtu a zapojení úvě'!$G$18:$H$18)</f>
        <v>121000</v>
      </c>
      <c r="H56" s="199">
        <f t="shared" ref="H56:H61" si="9">G56/E56*100</f>
        <v>27.462987382913482</v>
      </c>
      <c r="I56" s="120"/>
      <c r="J56" s="121"/>
    </row>
    <row r="57" spans="1:10" s="113" customFormat="1" ht="17.100000000000001" customHeight="1" x14ac:dyDescent="0.2">
      <c r="A57" s="6">
        <v>2</v>
      </c>
      <c r="B57" s="108" t="s">
        <v>485</v>
      </c>
      <c r="C57" s="134"/>
      <c r="D57" s="134"/>
      <c r="E57" s="994">
        <v>0</v>
      </c>
      <c r="F57" s="995"/>
      <c r="G57" s="174">
        <f>SUM('[15]zůstatek na účtu a zapojení úvě'!$G$24:$H$24)</f>
        <v>100000</v>
      </c>
      <c r="H57" s="200"/>
      <c r="I57" s="120"/>
      <c r="J57" s="121"/>
    </row>
    <row r="58" spans="1:10" s="113" customFormat="1" ht="17.100000000000001" customHeight="1" x14ac:dyDescent="0.2">
      <c r="A58" s="6">
        <v>3</v>
      </c>
      <c r="B58" s="108" t="s">
        <v>516</v>
      </c>
      <c r="C58" s="134"/>
      <c r="D58" s="134"/>
      <c r="E58" s="994">
        <v>0</v>
      </c>
      <c r="F58" s="995"/>
      <c r="G58" s="174">
        <f>SUM('[15]zůstatek na účtu a zapojení úvě'!$G$25:$H$25)</f>
        <v>400000</v>
      </c>
      <c r="H58" s="200"/>
      <c r="I58" s="120"/>
      <c r="J58" s="121"/>
    </row>
    <row r="59" spans="1:10" s="113" customFormat="1" ht="17.100000000000001" customHeight="1" x14ac:dyDescent="0.2">
      <c r="A59" s="899">
        <v>4</v>
      </c>
      <c r="B59" s="900" t="s">
        <v>486</v>
      </c>
      <c r="C59" s="901"/>
      <c r="D59" s="901"/>
      <c r="E59" s="996">
        <v>-346341</v>
      </c>
      <c r="F59" s="997"/>
      <c r="G59" s="997">
        <f>-SUM('[15]Splátky úvěrů'!$G$20:$H$21,'[15]Splátky úvěrů'!$G$26:$H$27)</f>
        <v>-271341</v>
      </c>
      <c r="H59" s="902">
        <f t="shared" si="9"/>
        <v>78.345041447590674</v>
      </c>
      <c r="I59" s="120"/>
      <c r="J59" s="121"/>
    </row>
    <row r="60" spans="1:10" s="113" customFormat="1" ht="17.100000000000001" customHeight="1" x14ac:dyDescent="0.2">
      <c r="A60" s="899">
        <v>5</v>
      </c>
      <c r="B60" s="900" t="s">
        <v>487</v>
      </c>
      <c r="C60" s="901"/>
      <c r="D60" s="901"/>
      <c r="E60" s="998"/>
      <c r="F60" s="997"/>
      <c r="G60" s="997">
        <f>-SUM('[15]Splátky úvěrů'!$G$22:$H$22)</f>
        <v>-250000</v>
      </c>
      <c r="H60" s="902"/>
      <c r="I60" s="120"/>
      <c r="J60" s="121"/>
    </row>
    <row r="61" spans="1:10" s="127" customFormat="1" ht="24.95" customHeight="1" thickBot="1" x14ac:dyDescent="0.3">
      <c r="A61" s="122">
        <v>6</v>
      </c>
      <c r="B61" s="123" t="s">
        <v>22</v>
      </c>
      <c r="C61" s="96" t="e">
        <f>C56+#REF!+#REF!</f>
        <v>#REF!</v>
      </c>
      <c r="D61" s="96" t="e">
        <f>D56+#REF!+#REF!</f>
        <v>#REF!</v>
      </c>
      <c r="E61" s="990">
        <f>SUM(E56:E60)</f>
        <v>94252</v>
      </c>
      <c r="F61" s="990">
        <f>SUM(F56:F60)</f>
        <v>0</v>
      </c>
      <c r="G61" s="990">
        <f>SUM(G56:G60)</f>
        <v>99659</v>
      </c>
      <c r="H61" s="124">
        <f t="shared" si="9"/>
        <v>105.73674829181343</v>
      </c>
      <c r="I61" s="125"/>
      <c r="J61" s="126"/>
    </row>
    <row r="62" spans="1:10" ht="7.5" customHeight="1" thickTop="1" x14ac:dyDescent="0.25">
      <c r="A62" s="155"/>
      <c r="B62" s="77"/>
      <c r="C62" s="77"/>
      <c r="D62" s="77"/>
      <c r="E62" s="969"/>
      <c r="F62" s="968"/>
      <c r="G62" s="969"/>
      <c r="H62" s="77"/>
      <c r="I62" s="75"/>
      <c r="J62" s="76"/>
    </row>
    <row r="63" spans="1:10" s="145" customFormat="1" ht="28.5" hidden="1" customHeight="1" thickBot="1" x14ac:dyDescent="0.3">
      <c r="A63" s="142" t="s">
        <v>97</v>
      </c>
      <c r="B63" s="143"/>
      <c r="C63" s="143"/>
      <c r="D63" s="143"/>
      <c r="E63" s="999"/>
      <c r="F63" s="1000" t="e">
        <f>SUM(F68)</f>
        <v>#REF!</v>
      </c>
      <c r="G63" s="1000">
        <f>SUM(G68)</f>
        <v>0</v>
      </c>
      <c r="H63" s="142" t="s">
        <v>98</v>
      </c>
      <c r="J63" s="146"/>
    </row>
    <row r="64" spans="1:10" ht="15.75" hidden="1" customHeight="1" thickTop="1" x14ac:dyDescent="0.25">
      <c r="A64" s="1025" t="s">
        <v>575</v>
      </c>
      <c r="B64" s="1025"/>
      <c r="C64" s="1025"/>
      <c r="D64" s="1025"/>
      <c r="E64" s="1025"/>
      <c r="F64" s="1025"/>
      <c r="G64" s="1025"/>
      <c r="H64" s="1025"/>
      <c r="I64" s="77"/>
      <c r="J64" s="76"/>
    </row>
    <row r="65" spans="1:10" ht="30" hidden="1" customHeight="1" x14ac:dyDescent="0.25">
      <c r="A65" s="1026"/>
      <c r="B65" s="1026"/>
      <c r="C65" s="1026"/>
      <c r="D65" s="1026"/>
      <c r="E65" s="1026"/>
      <c r="F65" s="1026"/>
      <c r="G65" s="1026"/>
      <c r="H65" s="1026"/>
      <c r="I65" s="77"/>
      <c r="J65" s="76"/>
    </row>
    <row r="66" spans="1:10" ht="15.75" x14ac:dyDescent="0.25">
      <c r="A66" s="155"/>
      <c r="B66" s="156" t="s">
        <v>46</v>
      </c>
      <c r="C66" s="157">
        <f>SUM(C22,C56:D58)</f>
        <v>5292291</v>
      </c>
      <c r="D66" s="157">
        <f>SUM(D22,D56:D58)</f>
        <v>5099051</v>
      </c>
      <c r="E66" s="1001">
        <f>SUM(E22,E56:E58)</f>
        <v>6536269</v>
      </c>
      <c r="F66" s="1001">
        <f>SUM(F22,F56:F58)</f>
        <v>5628137</v>
      </c>
      <c r="G66" s="1001">
        <f>SUM(G22,G56:G58)</f>
        <v>6477392</v>
      </c>
      <c r="H66" s="77"/>
      <c r="I66" s="77"/>
      <c r="J66" s="76"/>
    </row>
    <row r="67" spans="1:10" ht="15.75" x14ac:dyDescent="0.25">
      <c r="A67" s="155"/>
      <c r="B67" s="156" t="s">
        <v>47</v>
      </c>
      <c r="C67" s="157" t="e">
        <f>SUM(C51-#REF!)</f>
        <v>#REF!</v>
      </c>
      <c r="D67" s="157" t="e">
        <f>SUM(D51-#REF!)</f>
        <v>#REF!</v>
      </c>
      <c r="E67" s="1001">
        <f>E51-E59-E60</f>
        <v>6536269</v>
      </c>
      <c r="F67" s="1001" t="e">
        <f>F51-F59-F60</f>
        <v>#REF!</v>
      </c>
      <c r="G67" s="1001">
        <f>G51-G59-G60</f>
        <v>6477392</v>
      </c>
      <c r="H67" s="77"/>
      <c r="I67" s="77"/>
      <c r="J67" s="76"/>
    </row>
    <row r="68" spans="1:10" ht="15.75" x14ac:dyDescent="0.25">
      <c r="A68" s="155"/>
      <c r="B68" s="156" t="s">
        <v>48</v>
      </c>
      <c r="C68" s="157" t="e">
        <f t="shared" ref="C68:D68" si="10">C67-C66</f>
        <v>#REF!</v>
      </c>
      <c r="D68" s="157" t="e">
        <f t="shared" si="10"/>
        <v>#REF!</v>
      </c>
      <c r="E68" s="1001">
        <f>E67-E66</f>
        <v>0</v>
      </c>
      <c r="F68" s="1001" t="e">
        <f>F66-F67</f>
        <v>#REF!</v>
      </c>
      <c r="G68" s="1001">
        <f>G66-G67</f>
        <v>0</v>
      </c>
      <c r="H68" s="77"/>
      <c r="I68" s="77"/>
      <c r="J68" s="76"/>
    </row>
    <row r="69" spans="1:10" x14ac:dyDescent="0.25">
      <c r="A69" s="155"/>
      <c r="B69" s="158"/>
      <c r="C69" s="159"/>
      <c r="D69" s="159"/>
      <c r="E69" s="1002"/>
      <c r="F69" s="1002"/>
      <c r="G69" s="969"/>
      <c r="H69" s="77"/>
      <c r="I69" s="77"/>
      <c r="J69" s="76"/>
    </row>
    <row r="70" spans="1:10" x14ac:dyDescent="0.25">
      <c r="A70" s="155"/>
      <c r="B70" s="77"/>
      <c r="C70" s="77"/>
      <c r="D70" s="77"/>
      <c r="E70" s="76"/>
      <c r="F70" s="77"/>
      <c r="H70" s="77"/>
      <c r="I70" s="77"/>
      <c r="J70" s="76"/>
    </row>
    <row r="71" spans="1:10" ht="15.75" x14ac:dyDescent="0.25">
      <c r="A71" s="155"/>
      <c r="B71" s="77"/>
      <c r="C71" s="77"/>
      <c r="D71" s="77"/>
      <c r="E71" s="167"/>
      <c r="F71" s="167"/>
      <c r="G71" s="201"/>
      <c r="H71" s="77"/>
      <c r="I71" s="77"/>
      <c r="J71" s="76"/>
    </row>
    <row r="72" spans="1:10" ht="15.75" x14ac:dyDescent="0.25">
      <c r="E72" s="167"/>
      <c r="F72" s="167"/>
      <c r="G72" s="202"/>
    </row>
    <row r="73" spans="1:10" ht="15.75" x14ac:dyDescent="0.25">
      <c r="E73" s="167"/>
      <c r="F73" s="167"/>
      <c r="G73" s="202"/>
    </row>
    <row r="74" spans="1:10" ht="15.75" x14ac:dyDescent="0.25">
      <c r="E74" s="167"/>
      <c r="F74" s="167"/>
      <c r="G74" s="94"/>
    </row>
    <row r="75" spans="1:10" ht="15.75" x14ac:dyDescent="0.25">
      <c r="E75" s="167"/>
      <c r="F75" s="167"/>
      <c r="G75" s="94"/>
    </row>
  </sheetData>
  <mergeCells count="3">
    <mergeCell ref="C43:C48"/>
    <mergeCell ref="D43:D48"/>
    <mergeCell ref="A64:H6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8" firstPageNumber="7" orientation="portrait" useFirstPageNumber="1" r:id="rId1"/>
  <headerFooter>
    <oddFooter>&amp;L&amp;"Arial,Kurzíva"Zastupitelstvo Olomouckého kraje 21-12-2020
11. - Rozpočet Olomouckého kraje 2021 - návrh rozpočtu
Příloha č. 1: Návrh rozpočtu OK na rok 2021 (bilance) - zkrácená verze&amp;R&amp;"Arial,Kurzíva"Strana &amp;P (Celkem 150)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83"/>
  <sheetViews>
    <sheetView showGridLines="0" view="pageBreakPreview" topLeftCell="A46" zoomScaleNormal="100" zoomScaleSheetLayoutView="100" workbookViewId="0">
      <selection activeCell="M65" sqref="M65"/>
    </sheetView>
  </sheetViews>
  <sheetFormatPr defaultColWidth="9.140625" defaultRowHeight="12.75" x14ac:dyDescent="0.2"/>
  <cols>
    <col min="1" max="1" width="5.7109375" style="291" customWidth="1"/>
    <col min="2" max="2" width="6.42578125" style="291" customWidth="1"/>
    <col min="3" max="3" width="49" style="291" customWidth="1"/>
    <col min="4" max="4" width="16.5703125" style="291" customWidth="1"/>
    <col min="5" max="5" width="17.7109375" style="291" customWidth="1"/>
    <col min="6" max="6" width="16.85546875" style="300" customWidth="1"/>
    <col min="7" max="7" width="9" style="325" customWidth="1"/>
    <col min="8" max="8" width="8" style="291" customWidth="1"/>
    <col min="9" max="9" width="17.28515625" style="291" customWidth="1"/>
    <col min="10" max="16384" width="9.140625" style="291"/>
  </cols>
  <sheetData>
    <row r="1" spans="1:8" s="209" customFormat="1" ht="20.25" x14ac:dyDescent="0.3">
      <c r="A1" s="1029" t="s">
        <v>172</v>
      </c>
      <c r="B1" s="1030"/>
      <c r="C1" s="1030"/>
      <c r="D1" s="1030"/>
      <c r="E1" s="1030"/>
      <c r="F1" s="1030"/>
      <c r="G1" s="208"/>
    </row>
    <row r="2" spans="1:8" s="209" customFormat="1" ht="9.75" customHeight="1" x14ac:dyDescent="0.3">
      <c r="A2" s="210"/>
      <c r="B2" s="211"/>
      <c r="C2" s="211"/>
      <c r="D2" s="211"/>
      <c r="E2" s="211"/>
      <c r="F2" s="211"/>
      <c r="G2" s="208"/>
    </row>
    <row r="3" spans="1:8" s="209" customFormat="1" ht="9.75" customHeight="1" x14ac:dyDescent="0.3">
      <c r="A3" s="210"/>
      <c r="B3" s="211"/>
      <c r="C3" s="211"/>
      <c r="D3" s="211"/>
      <c r="E3" s="211"/>
      <c r="F3" s="211"/>
      <c r="G3" s="208"/>
    </row>
    <row r="4" spans="1:8" s="209" customFormat="1" ht="16.5" thickBot="1" x14ac:dyDescent="0.3">
      <c r="A4" s="212" t="s">
        <v>125</v>
      </c>
      <c r="F4" s="213"/>
      <c r="G4" s="214" t="s">
        <v>126</v>
      </c>
    </row>
    <row r="5" spans="1:8" s="221" customFormat="1" ht="40.5" customHeight="1" thickTop="1" thickBot="1" x14ac:dyDescent="0.3">
      <c r="A5" s="215" t="s">
        <v>127</v>
      </c>
      <c r="B5" s="216" t="s">
        <v>128</v>
      </c>
      <c r="C5" s="217" t="s">
        <v>129</v>
      </c>
      <c r="D5" s="218" t="s">
        <v>108</v>
      </c>
      <c r="E5" s="219" t="s">
        <v>130</v>
      </c>
      <c r="F5" s="218" t="s">
        <v>131</v>
      </c>
      <c r="G5" s="220" t="s">
        <v>2</v>
      </c>
    </row>
    <row r="6" spans="1:8" s="226" customFormat="1" ht="13.5" thickTop="1" thickBot="1" x14ac:dyDescent="0.25">
      <c r="A6" s="222">
        <v>1</v>
      </c>
      <c r="B6" s="223">
        <v>2</v>
      </c>
      <c r="C6" s="223">
        <v>3</v>
      </c>
      <c r="D6" s="224">
        <v>4</v>
      </c>
      <c r="E6" s="224">
        <v>5</v>
      </c>
      <c r="F6" s="224">
        <v>6</v>
      </c>
      <c r="G6" s="225" t="s">
        <v>132</v>
      </c>
    </row>
    <row r="7" spans="1:8" s="233" customFormat="1" ht="27.75" customHeight="1" thickTop="1" x14ac:dyDescent="0.25">
      <c r="A7" s="227"/>
      <c r="B7" s="228">
        <v>1111</v>
      </c>
      <c r="C7" s="229" t="s">
        <v>133</v>
      </c>
      <c r="D7" s="230">
        <f>SUM([2]daně!C10)</f>
        <v>1383152</v>
      </c>
      <c r="E7" s="230">
        <f>[2]daně!D10</f>
        <v>1201152</v>
      </c>
      <c r="F7" s="231">
        <f>SUM([2]daně!H10)</f>
        <v>1350341</v>
      </c>
      <c r="G7" s="232">
        <f>F7/D7*100</f>
        <v>97.627809524911214</v>
      </c>
    </row>
    <row r="8" spans="1:8" s="233" customFormat="1" ht="25.5" customHeight="1" x14ac:dyDescent="0.25">
      <c r="A8" s="234"/>
      <c r="B8" s="235">
        <v>1112</v>
      </c>
      <c r="C8" s="236" t="s">
        <v>134</v>
      </c>
      <c r="D8" s="237">
        <f>SUM([2]daně!C11)</f>
        <v>27000</v>
      </c>
      <c r="E8" s="237">
        <f>[2]daně!D11</f>
        <v>8000</v>
      </c>
      <c r="F8" s="238">
        <f>SUM([2]daně!H11)</f>
        <v>20255</v>
      </c>
      <c r="G8" s="239">
        <f t="shared" ref="G8:G11" si="0">F8/D8*100</f>
        <v>75.018518518518519</v>
      </c>
    </row>
    <row r="9" spans="1:8" s="233" customFormat="1" ht="21" customHeight="1" x14ac:dyDescent="0.25">
      <c r="A9" s="240"/>
      <c r="B9" s="235">
        <v>1113</v>
      </c>
      <c r="C9" s="236" t="s">
        <v>135</v>
      </c>
      <c r="D9" s="237">
        <f>SUM([2]daně!C12)</f>
        <v>121000</v>
      </c>
      <c r="E9" s="237">
        <f>[2]daně!D12</f>
        <v>121000</v>
      </c>
      <c r="F9" s="238">
        <f>SUM([2]daně!H12)</f>
        <v>128283</v>
      </c>
      <c r="G9" s="239">
        <f t="shared" si="0"/>
        <v>106.0190082644628</v>
      </c>
    </row>
    <row r="10" spans="1:8" s="233" customFormat="1" ht="28.5" customHeight="1" x14ac:dyDescent="0.25">
      <c r="A10" s="240"/>
      <c r="B10" s="235">
        <v>1121</v>
      </c>
      <c r="C10" s="236" t="s">
        <v>136</v>
      </c>
      <c r="D10" s="237">
        <f>SUM([2]daně!C13)</f>
        <v>1130000</v>
      </c>
      <c r="E10" s="237">
        <f>[2]daně!D13</f>
        <v>796413</v>
      </c>
      <c r="F10" s="238">
        <f>SUM([2]daně!H13)</f>
        <v>796701</v>
      </c>
      <c r="G10" s="239">
        <f t="shared" si="0"/>
        <v>70.504513274336276</v>
      </c>
    </row>
    <row r="11" spans="1:8" s="246" customFormat="1" ht="17.100000000000001" customHeight="1" thickBot="1" x14ac:dyDescent="0.25">
      <c r="A11" s="241"/>
      <c r="B11" s="242">
        <v>1211</v>
      </c>
      <c r="C11" s="243" t="s">
        <v>137</v>
      </c>
      <c r="D11" s="244">
        <f>SUM([2]daně!C14)</f>
        <v>2800000</v>
      </c>
      <c r="E11" s="244">
        <f>[2]daně!D14</f>
        <v>2543000</v>
      </c>
      <c r="F11" s="238">
        <f>SUM([2]daně!H14)</f>
        <v>2666924</v>
      </c>
      <c r="G11" s="245">
        <f t="shared" si="0"/>
        <v>95.247285714285709</v>
      </c>
    </row>
    <row r="12" spans="1:8" s="254" customFormat="1" ht="17.100000000000001" customHeight="1" thickTop="1" thickBot="1" x14ac:dyDescent="0.25">
      <c r="A12" s="247" t="s">
        <v>138</v>
      </c>
      <c r="B12" s="248"/>
      <c r="C12" s="249"/>
      <c r="D12" s="250">
        <f>SUM(D7:D11)</f>
        <v>5461152</v>
      </c>
      <c r="E12" s="250">
        <f>SUM(E7:E11)</f>
        <v>4669565</v>
      </c>
      <c r="F12" s="251">
        <f>SUM(F7:F11)</f>
        <v>4962504</v>
      </c>
      <c r="G12" s="252">
        <f>F12/D12*100</f>
        <v>90.869179250092287</v>
      </c>
      <c r="H12" s="253"/>
    </row>
    <row r="13" spans="1:8" s="260" customFormat="1" ht="17.100000000000001" customHeight="1" thickTop="1" x14ac:dyDescent="0.2">
      <c r="A13" s="255" t="s">
        <v>139</v>
      </c>
      <c r="B13" s="256">
        <v>1361</v>
      </c>
      <c r="C13" s="257" t="s">
        <v>4</v>
      </c>
      <c r="D13" s="258">
        <f>SUM([2]odbory!D7)</f>
        <v>1210</v>
      </c>
      <c r="E13" s="259">
        <f>SUM([2]odbory!E7)</f>
        <v>1210</v>
      </c>
      <c r="F13" s="259">
        <f>SUM([2]odbory!F7)</f>
        <v>1185</v>
      </c>
      <c r="G13" s="239">
        <f t="shared" ref="G13:G21" si="1">F13/D13*100</f>
        <v>97.933884297520663</v>
      </c>
    </row>
    <row r="14" spans="1:8" s="260" customFormat="1" ht="17.100000000000001" customHeight="1" x14ac:dyDescent="0.2">
      <c r="A14" s="261">
        <v>6409</v>
      </c>
      <c r="B14" s="256">
        <v>2111</v>
      </c>
      <c r="C14" s="257" t="s">
        <v>51</v>
      </c>
      <c r="D14" s="258">
        <f>SUM([2]odbory!D8)</f>
        <v>1210</v>
      </c>
      <c r="E14" s="259">
        <f>SUM([2]odbory!E8)</f>
        <v>1580</v>
      </c>
      <c r="F14" s="259">
        <f>SUM([2]odbory!F8)</f>
        <v>1420</v>
      </c>
      <c r="G14" s="239">
        <f t="shared" si="1"/>
        <v>117.35537190082646</v>
      </c>
    </row>
    <row r="15" spans="1:8" s="260" customFormat="1" ht="17.100000000000001" customHeight="1" x14ac:dyDescent="0.2">
      <c r="A15" s="261">
        <v>6172</v>
      </c>
      <c r="B15" s="256">
        <v>2119</v>
      </c>
      <c r="C15" s="257" t="s">
        <v>140</v>
      </c>
      <c r="D15" s="258">
        <f>SUM([2]odbory!D9)</f>
        <v>120</v>
      </c>
      <c r="E15" s="259">
        <f>SUM([2]odbory!E9)</f>
        <v>120</v>
      </c>
      <c r="F15" s="259">
        <f>SUM([2]odbory!F9)</f>
        <v>160</v>
      </c>
      <c r="G15" s="239">
        <f t="shared" si="1"/>
        <v>133.33333333333331</v>
      </c>
    </row>
    <row r="16" spans="1:8" s="246" customFormat="1" ht="17.100000000000001" customHeight="1" x14ac:dyDescent="0.2">
      <c r="A16" s="261">
        <v>6172</v>
      </c>
      <c r="B16" s="256">
        <v>2122</v>
      </c>
      <c r="C16" s="257" t="s">
        <v>10</v>
      </c>
      <c r="D16" s="258">
        <f>SUM([2]odbory!D10)</f>
        <v>257871</v>
      </c>
      <c r="E16" s="259">
        <f>[2]odbory!E10</f>
        <v>260390</v>
      </c>
      <c r="F16" s="259">
        <f>SUM([2]odbory!F10)</f>
        <v>283803</v>
      </c>
      <c r="G16" s="239">
        <f t="shared" si="1"/>
        <v>110.05619088614074</v>
      </c>
    </row>
    <row r="17" spans="1:9" s="260" customFormat="1" ht="17.100000000000001" customHeight="1" x14ac:dyDescent="0.2">
      <c r="A17" s="261">
        <v>1032</v>
      </c>
      <c r="B17" s="256">
        <v>2131</v>
      </c>
      <c r="C17" s="257" t="s">
        <v>141</v>
      </c>
      <c r="D17" s="258">
        <f>SUM([2]odbory!D11)</f>
        <v>25</v>
      </c>
      <c r="E17" s="258">
        <f>SUM([2]odbory!E11)</f>
        <v>25</v>
      </c>
      <c r="F17" s="259">
        <f>SUM([2]odbory!F11)</f>
        <v>25</v>
      </c>
      <c r="G17" s="239">
        <f t="shared" si="1"/>
        <v>100</v>
      </c>
      <c r="H17" s="262"/>
    </row>
    <row r="18" spans="1:9" s="260" customFormat="1" ht="17.100000000000001" customHeight="1" x14ac:dyDescent="0.2">
      <c r="A18" s="261">
        <v>6172</v>
      </c>
      <c r="B18" s="256">
        <v>2131</v>
      </c>
      <c r="C18" s="257" t="s">
        <v>141</v>
      </c>
      <c r="D18" s="258">
        <f>SUM([2]odbory!D12)</f>
        <v>223</v>
      </c>
      <c r="E18" s="258">
        <f>SUM([2]odbory!E12)</f>
        <v>223</v>
      </c>
      <c r="F18" s="259">
        <f>SUM([2]odbory!F12)</f>
        <v>223</v>
      </c>
      <c r="G18" s="239">
        <f t="shared" si="1"/>
        <v>100</v>
      </c>
    </row>
    <row r="19" spans="1:9" s="266" customFormat="1" ht="30" customHeight="1" x14ac:dyDescent="0.25">
      <c r="A19" s="263">
        <v>6172</v>
      </c>
      <c r="B19" s="235">
        <v>2132</v>
      </c>
      <c r="C19" s="236" t="s">
        <v>142</v>
      </c>
      <c r="D19" s="264">
        <f>SUM([2]odbory!D13)</f>
        <v>32267.1</v>
      </c>
      <c r="E19" s="264">
        <f>SUM([2]odbory!E13)</f>
        <v>32854.1</v>
      </c>
      <c r="F19" s="265">
        <f>SUM([2]odbory!F13)</f>
        <v>32868.1</v>
      </c>
      <c r="G19" s="239">
        <f t="shared" si="1"/>
        <v>101.86257829182045</v>
      </c>
    </row>
    <row r="20" spans="1:9" s="266" customFormat="1" ht="16.5" customHeight="1" x14ac:dyDescent="0.2">
      <c r="A20" s="263">
        <v>6172</v>
      </c>
      <c r="B20" s="235">
        <v>2133</v>
      </c>
      <c r="C20" s="257" t="s">
        <v>143</v>
      </c>
      <c r="D20" s="267">
        <f>SUM([2]odbory!D14)</f>
        <v>142.19999999999999</v>
      </c>
      <c r="E20" s="267">
        <f>[2]odbory!E14</f>
        <v>142.19999999999999</v>
      </c>
      <c r="F20" s="268">
        <f>SUM([2]odbory!F14)</f>
        <v>142.19999999999999</v>
      </c>
      <c r="G20" s="239">
        <f t="shared" si="1"/>
        <v>100</v>
      </c>
    </row>
    <row r="21" spans="1:9" s="266" customFormat="1" ht="16.5" customHeight="1" x14ac:dyDescent="0.2">
      <c r="A21" s="263">
        <v>6172</v>
      </c>
      <c r="B21" s="235">
        <v>2211</v>
      </c>
      <c r="C21" s="257" t="s">
        <v>144</v>
      </c>
      <c r="D21" s="258">
        <f>SUM([2]odbory!D15)</f>
        <v>600</v>
      </c>
      <c r="E21" s="258">
        <f>[2]odbory!E15</f>
        <v>600</v>
      </c>
      <c r="F21" s="259">
        <f>SUM([2]odbory!F15)</f>
        <v>800</v>
      </c>
      <c r="G21" s="239">
        <f t="shared" si="1"/>
        <v>133.33333333333331</v>
      </c>
    </row>
    <row r="22" spans="1:9" s="266" customFormat="1" ht="16.5" customHeight="1" x14ac:dyDescent="0.2">
      <c r="A22" s="263">
        <v>6172</v>
      </c>
      <c r="B22" s="235">
        <v>2212</v>
      </c>
      <c r="C22" s="257" t="s">
        <v>145</v>
      </c>
      <c r="D22" s="258">
        <f>SUM([2]odbory!D17)</f>
        <v>2425</v>
      </c>
      <c r="E22" s="258">
        <f>[2]odbory!E17</f>
        <v>2425</v>
      </c>
      <c r="F22" s="259">
        <f>SUM([2]odbory!F17)</f>
        <v>2120</v>
      </c>
      <c r="G22" s="239">
        <f>F22/D22*100</f>
        <v>87.422680412371136</v>
      </c>
    </row>
    <row r="23" spans="1:9" s="266" customFormat="1" ht="28.5" customHeight="1" x14ac:dyDescent="0.2">
      <c r="A23" s="269">
        <v>6172</v>
      </c>
      <c r="B23" s="270">
        <v>2222</v>
      </c>
      <c r="C23" s="271" t="s">
        <v>146</v>
      </c>
      <c r="D23" s="258">
        <f>SUM([2]odbory!D18)</f>
        <v>0</v>
      </c>
      <c r="E23" s="258">
        <f>SUM([2]odbory!E18)</f>
        <v>0</v>
      </c>
      <c r="F23" s="259">
        <f>[2]odbory!F18</f>
        <v>1598</v>
      </c>
      <c r="G23" s="239"/>
    </row>
    <row r="24" spans="1:9" s="266" customFormat="1" ht="27" customHeight="1" x14ac:dyDescent="0.2">
      <c r="A24" s="272">
        <v>6172</v>
      </c>
      <c r="B24" s="273">
        <v>2310</v>
      </c>
      <c r="C24" s="274" t="s">
        <v>147</v>
      </c>
      <c r="D24" s="258">
        <f>[2]odbory!D19</f>
        <v>5</v>
      </c>
      <c r="E24" s="258">
        <f>[2]odbory!E19</f>
        <v>5</v>
      </c>
      <c r="F24" s="259">
        <f>[2]odbory!F19</f>
        <v>5</v>
      </c>
      <c r="G24" s="239"/>
    </row>
    <row r="25" spans="1:9" s="266" customFormat="1" ht="16.5" customHeight="1" x14ac:dyDescent="0.2">
      <c r="A25" s="263">
        <v>6172</v>
      </c>
      <c r="B25" s="235">
        <v>2321</v>
      </c>
      <c r="C25" s="257" t="s">
        <v>148</v>
      </c>
      <c r="D25" s="258">
        <f>SUM([2]odbory!D20)</f>
        <v>300</v>
      </c>
      <c r="E25" s="258">
        <f>SUM([2]odbory!E20)</f>
        <v>300</v>
      </c>
      <c r="F25" s="259">
        <f>SUM([2]odbory!F20)</f>
        <v>0</v>
      </c>
      <c r="G25" s="239">
        <f>F25/D25*100</f>
        <v>0</v>
      </c>
    </row>
    <row r="26" spans="1:9" s="260" customFormat="1" ht="16.5" customHeight="1" x14ac:dyDescent="0.2">
      <c r="A26" s="263">
        <v>2221</v>
      </c>
      <c r="B26" s="235">
        <v>2324</v>
      </c>
      <c r="C26" s="257" t="s">
        <v>149</v>
      </c>
      <c r="D26" s="258">
        <f>SUM([2]odbory!D21)</f>
        <v>153500</v>
      </c>
      <c r="E26" s="258">
        <f>[2]odbory!E21</f>
        <v>153500</v>
      </c>
      <c r="F26" s="259">
        <f>SUM([2]odbory!F21)</f>
        <v>164292</v>
      </c>
      <c r="G26" s="239">
        <f>F26/D26*100</f>
        <v>107.03061889250813</v>
      </c>
    </row>
    <row r="27" spans="1:9" s="266" customFormat="1" ht="16.5" customHeight="1" x14ac:dyDescent="0.2">
      <c r="A27" s="263">
        <v>6172</v>
      </c>
      <c r="B27" s="235">
        <v>2324</v>
      </c>
      <c r="C27" s="257" t="s">
        <v>149</v>
      </c>
      <c r="D27" s="258">
        <f>SUM([2]odbory!D22)</f>
        <v>610</v>
      </c>
      <c r="E27" s="258">
        <f>[2]odbory!E22</f>
        <v>2297</v>
      </c>
      <c r="F27" s="259">
        <f>SUM([2]odbory!F22)</f>
        <v>680</v>
      </c>
      <c r="G27" s="239">
        <f>F27/D27*100</f>
        <v>111.47540983606557</v>
      </c>
    </row>
    <row r="28" spans="1:9" s="266" customFormat="1" ht="16.5" customHeight="1" x14ac:dyDescent="0.2">
      <c r="A28" s="269">
        <v>6172</v>
      </c>
      <c r="B28" s="270">
        <v>2329</v>
      </c>
      <c r="C28" s="275" t="s">
        <v>150</v>
      </c>
      <c r="D28" s="276">
        <v>0</v>
      </c>
      <c r="E28" s="258">
        <f>[2]odbory!E23</f>
        <v>1</v>
      </c>
      <c r="F28" s="276">
        <f>[2]odbory!F23</f>
        <v>1</v>
      </c>
      <c r="G28" s="239"/>
    </row>
    <row r="29" spans="1:9" s="266" customFormat="1" ht="16.5" customHeight="1" x14ac:dyDescent="0.2">
      <c r="A29" s="263">
        <v>6409</v>
      </c>
      <c r="B29" s="235">
        <v>2329</v>
      </c>
      <c r="C29" s="257" t="s">
        <v>151</v>
      </c>
      <c r="D29" s="258">
        <f>SUM([2]odbory!D24)</f>
        <v>100</v>
      </c>
      <c r="E29" s="258">
        <f>[2]odbory!E24</f>
        <v>100</v>
      </c>
      <c r="F29" s="259">
        <f>SUM([2]odbory!F24)</f>
        <v>0</v>
      </c>
      <c r="G29" s="239">
        <f>F29/D29*100</f>
        <v>0</v>
      </c>
      <c r="I29" s="277"/>
    </row>
    <row r="30" spans="1:9" s="266" customFormat="1" ht="31.5" customHeight="1" x14ac:dyDescent="0.25">
      <c r="A30" s="263"/>
      <c r="B30" s="235">
        <v>2412</v>
      </c>
      <c r="C30" s="236" t="s">
        <v>152</v>
      </c>
      <c r="D30" s="237">
        <v>765</v>
      </c>
      <c r="E30" s="237">
        <v>765</v>
      </c>
      <c r="F30" s="278">
        <f>[2]odbory!F25</f>
        <v>0</v>
      </c>
      <c r="G30" s="239"/>
    </row>
    <row r="31" spans="1:9" s="266" customFormat="1" ht="30.75" customHeight="1" x14ac:dyDescent="0.25">
      <c r="A31" s="263"/>
      <c r="B31" s="235">
        <v>2420</v>
      </c>
      <c r="C31" s="236" t="s">
        <v>153</v>
      </c>
      <c r="D31" s="237">
        <f>SUM([2]odbory!D26)</f>
        <v>300</v>
      </c>
      <c r="E31" s="237">
        <f>[2]odbory!E26</f>
        <v>600</v>
      </c>
      <c r="F31" s="278">
        <f>SUM([2]odbory!F26)</f>
        <v>300</v>
      </c>
      <c r="G31" s="239">
        <f t="shared" ref="G31" si="2">F31/D31*100</f>
        <v>100</v>
      </c>
    </row>
    <row r="32" spans="1:9" s="260" customFormat="1" ht="16.5" customHeight="1" x14ac:dyDescent="0.2">
      <c r="A32" s="263">
        <v>6172</v>
      </c>
      <c r="B32" s="235">
        <v>3111</v>
      </c>
      <c r="C32" s="257" t="s">
        <v>154</v>
      </c>
      <c r="D32" s="258">
        <f>SUM([2]odbory!D27)</f>
        <v>600</v>
      </c>
      <c r="E32" s="237">
        <f>[2]odbory!E27</f>
        <v>600</v>
      </c>
      <c r="F32" s="259">
        <f>SUM([2]odbory!F27)</f>
        <v>1150</v>
      </c>
      <c r="G32" s="279">
        <f>F32/D32*100</f>
        <v>191.66666666666669</v>
      </c>
    </row>
    <row r="33" spans="1:10" s="266" customFormat="1" ht="16.5" customHeight="1" x14ac:dyDescent="0.2">
      <c r="A33" s="263">
        <v>6172</v>
      </c>
      <c r="B33" s="235">
        <v>3112</v>
      </c>
      <c r="C33" s="257" t="s">
        <v>155</v>
      </c>
      <c r="D33" s="258">
        <f>SUM([2]odbory!D28)</f>
        <v>9600</v>
      </c>
      <c r="E33" s="237">
        <f>[2]odbory!E28</f>
        <v>9600</v>
      </c>
      <c r="F33" s="259">
        <f>SUM([2]odbory!F28)</f>
        <v>7200</v>
      </c>
      <c r="G33" s="239">
        <f>F33/D33*100</f>
        <v>75</v>
      </c>
    </row>
    <row r="34" spans="1:10" s="266" customFormat="1" ht="27.75" customHeight="1" x14ac:dyDescent="0.25">
      <c r="A34" s="272">
        <v>6172</v>
      </c>
      <c r="B34" s="273">
        <v>3113</v>
      </c>
      <c r="C34" s="274" t="s">
        <v>156</v>
      </c>
      <c r="D34" s="237">
        <f>[2]odbory!D29</f>
        <v>5</v>
      </c>
      <c r="E34" s="237">
        <f>[2]odbory!E29</f>
        <v>5</v>
      </c>
      <c r="F34" s="278">
        <f>[2]odbory!F29</f>
        <v>5</v>
      </c>
      <c r="G34" s="239">
        <f>F34/D34*100</f>
        <v>100</v>
      </c>
    </row>
    <row r="35" spans="1:10" s="260" customFormat="1" ht="16.5" customHeight="1" x14ac:dyDescent="0.2">
      <c r="A35" s="263">
        <v>6310</v>
      </c>
      <c r="B35" s="235">
        <v>2141</v>
      </c>
      <c r="C35" s="257" t="s">
        <v>8</v>
      </c>
      <c r="D35" s="267">
        <f>SUM([2]odbory!D30)</f>
        <v>4000.2</v>
      </c>
      <c r="E35" s="264">
        <f>[2]odbory!E30</f>
        <v>4000.2</v>
      </c>
      <c r="F35" s="268">
        <f>SUM([2]odbory!F30)</f>
        <v>500.3</v>
      </c>
      <c r="G35" s="239">
        <f>F35/D35*100</f>
        <v>12.506874656267186</v>
      </c>
      <c r="I35" s="262"/>
    </row>
    <row r="36" spans="1:10" s="285" customFormat="1" ht="27.75" customHeight="1" x14ac:dyDescent="0.25">
      <c r="A36" s="280"/>
      <c r="B36" s="281">
        <v>4112</v>
      </c>
      <c r="C36" s="282" t="s">
        <v>157</v>
      </c>
      <c r="D36" s="283">
        <v>109631.5</v>
      </c>
      <c r="E36" s="283">
        <v>109631.5</v>
      </c>
      <c r="F36" s="283">
        <v>122749.4</v>
      </c>
      <c r="G36" s="284">
        <f>F36/D36*100</f>
        <v>111.96544788678435</v>
      </c>
      <c r="I36" s="286"/>
    </row>
    <row r="37" spans="1:10" s="285" customFormat="1" ht="27.75" customHeight="1" x14ac:dyDescent="0.25">
      <c r="A37" s="280"/>
      <c r="B37" s="281">
        <v>4216</v>
      </c>
      <c r="C37" s="282" t="s">
        <v>123</v>
      </c>
      <c r="D37" s="283"/>
      <c r="E37" s="283"/>
      <c r="F37" s="238">
        <f>[2]odbory!F31</f>
        <v>212215</v>
      </c>
      <c r="G37" s="284"/>
      <c r="I37" s="286"/>
    </row>
    <row r="38" spans="1:10" s="285" customFormat="1" ht="20.25" customHeight="1" thickBot="1" x14ac:dyDescent="0.3">
      <c r="A38" s="280"/>
      <c r="B38" s="281">
        <v>4221</v>
      </c>
      <c r="C38" s="282" t="s">
        <v>158</v>
      </c>
      <c r="D38" s="238">
        <f>[2]odbory!D32</f>
        <v>25012</v>
      </c>
      <c r="E38" s="238">
        <f>[2]odbory!E32</f>
        <v>28012</v>
      </c>
      <c r="F38" s="238">
        <f>SUM([2]odbory!F32)</f>
        <v>26142</v>
      </c>
      <c r="G38" s="287">
        <f>F38/D38*100</f>
        <v>104.51783144090837</v>
      </c>
      <c r="I38" s="286"/>
    </row>
    <row r="39" spans="1:10" ht="18.75" customHeight="1" thickTop="1" thickBot="1" x14ac:dyDescent="0.3">
      <c r="A39" s="1031" t="s">
        <v>159</v>
      </c>
      <c r="B39" s="1032"/>
      <c r="C39" s="1032"/>
      <c r="D39" s="288">
        <f>SUM(D12:D38)</f>
        <v>6061674</v>
      </c>
      <c r="E39" s="288">
        <f t="shared" ref="E39" si="3">SUM(E12:E38)</f>
        <v>5278551</v>
      </c>
      <c r="F39" s="288">
        <f>SUM(F12:F38)</f>
        <v>5822088</v>
      </c>
      <c r="G39" s="289">
        <f>F39/D39*100</f>
        <v>96.047527465185354</v>
      </c>
      <c r="H39" s="209"/>
      <c r="I39" s="290"/>
      <c r="J39" s="290"/>
    </row>
    <row r="40" spans="1:10" ht="15" thickTop="1" x14ac:dyDescent="0.2">
      <c r="F40" s="213"/>
      <c r="G40" s="292"/>
      <c r="H40" s="209"/>
    </row>
    <row r="41" spans="1:10" s="209" customFormat="1" ht="16.5" thickBot="1" x14ac:dyDescent="0.3">
      <c r="A41" s="212" t="s">
        <v>160</v>
      </c>
      <c r="F41" s="213"/>
      <c r="G41" s="214" t="s">
        <v>126</v>
      </c>
    </row>
    <row r="42" spans="1:10" s="221" customFormat="1" ht="39.75" thickTop="1" thickBot="1" x14ac:dyDescent="0.3">
      <c r="A42" s="293" t="s">
        <v>127</v>
      </c>
      <c r="B42" s="294" t="s">
        <v>161</v>
      </c>
      <c r="C42" s="295" t="s">
        <v>162</v>
      </c>
      <c r="D42" s="218" t="s">
        <v>108</v>
      </c>
      <c r="E42" s="219" t="s">
        <v>130</v>
      </c>
      <c r="F42" s="218" t="s">
        <v>131</v>
      </c>
      <c r="G42" s="220" t="s">
        <v>2</v>
      </c>
    </row>
    <row r="43" spans="1:10" s="226" customFormat="1" ht="13.5" thickTop="1" thickBot="1" x14ac:dyDescent="0.25">
      <c r="A43" s="293">
        <v>1</v>
      </c>
      <c r="B43" s="295">
        <v>2</v>
      </c>
      <c r="C43" s="295">
        <v>3</v>
      </c>
      <c r="D43" s="224">
        <v>4</v>
      </c>
      <c r="E43" s="224">
        <v>5</v>
      </c>
      <c r="F43" s="224">
        <v>6</v>
      </c>
      <c r="G43" s="225" t="s">
        <v>132</v>
      </c>
    </row>
    <row r="44" spans="1:10" s="266" customFormat="1" ht="15" thickTop="1" x14ac:dyDescent="0.2">
      <c r="A44" s="261">
        <v>6310</v>
      </c>
      <c r="B44" s="256">
        <v>2141</v>
      </c>
      <c r="C44" s="257" t="s">
        <v>8</v>
      </c>
      <c r="D44" s="296">
        <v>2</v>
      </c>
      <c r="E44" s="237">
        <v>2</v>
      </c>
      <c r="F44" s="296">
        <v>2</v>
      </c>
      <c r="G44" s="239">
        <f>F44/D44*100</f>
        <v>100</v>
      </c>
    </row>
    <row r="45" spans="1:10" s="266" customFormat="1" ht="14.25" x14ac:dyDescent="0.2">
      <c r="A45" s="261">
        <v>6113</v>
      </c>
      <c r="B45" s="256">
        <v>2324</v>
      </c>
      <c r="C45" s="257" t="s">
        <v>149</v>
      </c>
      <c r="D45" s="296">
        <v>0</v>
      </c>
      <c r="E45" s="237">
        <v>0</v>
      </c>
      <c r="F45" s="296">
        <v>1</v>
      </c>
      <c r="G45" s="239"/>
    </row>
    <row r="46" spans="1:10" s="266" customFormat="1" ht="14.25" x14ac:dyDescent="0.2">
      <c r="A46" s="261">
        <v>6172</v>
      </c>
      <c r="B46" s="256">
        <v>2324</v>
      </c>
      <c r="C46" s="257" t="s">
        <v>149</v>
      </c>
      <c r="D46" s="296">
        <v>0</v>
      </c>
      <c r="E46" s="237">
        <v>0</v>
      </c>
      <c r="F46" s="296">
        <v>1</v>
      </c>
      <c r="G46" s="239"/>
    </row>
    <row r="47" spans="1:10" s="266" customFormat="1" ht="15" thickBot="1" x14ac:dyDescent="0.3">
      <c r="A47" s="297">
        <v>6330</v>
      </c>
      <c r="B47" s="235">
        <v>4134</v>
      </c>
      <c r="C47" s="236" t="s">
        <v>163</v>
      </c>
      <c r="D47" s="296">
        <v>10527</v>
      </c>
      <c r="E47" s="237">
        <v>11411</v>
      </c>
      <c r="F47" s="296">
        <v>11058</v>
      </c>
      <c r="G47" s="239">
        <f>F47/D47*100</f>
        <v>105.04417212881162</v>
      </c>
    </row>
    <row r="48" spans="1:10" s="299" customFormat="1" ht="18.75" customHeight="1" thickTop="1" thickBot="1" x14ac:dyDescent="0.3">
      <c r="A48" s="1031" t="s">
        <v>159</v>
      </c>
      <c r="B48" s="1032"/>
      <c r="C48" s="1032"/>
      <c r="D48" s="298">
        <f>SUM(D44:D47)</f>
        <v>10529</v>
      </c>
      <c r="E48" s="298">
        <f>SUM(E44:E47)</f>
        <v>11413</v>
      </c>
      <c r="F48" s="298">
        <f>SUM(F44:F47)</f>
        <v>11062</v>
      </c>
      <c r="G48" s="289">
        <f>F48/D48*100</f>
        <v>105.06220913667015</v>
      </c>
    </row>
    <row r="49" spans="1:8" s="209" customFormat="1" ht="15" thickTop="1" x14ac:dyDescent="0.2">
      <c r="F49" s="213"/>
      <c r="G49" s="292"/>
    </row>
    <row r="50" spans="1:8" ht="14.25" hidden="1" x14ac:dyDescent="0.2">
      <c r="G50" s="301"/>
    </row>
    <row r="51" spans="1:8" ht="14.25" hidden="1" x14ac:dyDescent="0.2">
      <c r="G51" s="301"/>
    </row>
    <row r="52" spans="1:8" ht="14.25" hidden="1" x14ac:dyDescent="0.2">
      <c r="G52" s="301"/>
    </row>
    <row r="53" spans="1:8" ht="14.25" hidden="1" x14ac:dyDescent="0.2">
      <c r="G53" s="301"/>
    </row>
    <row r="54" spans="1:8" ht="14.25" hidden="1" x14ac:dyDescent="0.2">
      <c r="G54" s="301"/>
    </row>
    <row r="55" spans="1:8" ht="14.25" hidden="1" x14ac:dyDescent="0.2">
      <c r="G55" s="301"/>
    </row>
    <row r="56" spans="1:8" ht="14.25" hidden="1" x14ac:dyDescent="0.2">
      <c r="G56" s="301"/>
    </row>
    <row r="57" spans="1:8" ht="14.25" hidden="1" x14ac:dyDescent="0.2">
      <c r="G57" s="301"/>
    </row>
    <row r="58" spans="1:8" ht="14.25" hidden="1" x14ac:dyDescent="0.2">
      <c r="G58" s="301"/>
    </row>
    <row r="59" spans="1:8" s="209" customFormat="1" ht="30" customHeight="1" thickBot="1" x14ac:dyDescent="0.3">
      <c r="A59" s="1033" t="s">
        <v>164</v>
      </c>
      <c r="B59" s="1033"/>
      <c r="C59" s="1033"/>
      <c r="D59" s="1033"/>
      <c r="E59" s="1033"/>
      <c r="F59" s="1033"/>
      <c r="G59" s="214" t="s">
        <v>126</v>
      </c>
    </row>
    <row r="60" spans="1:8" s="221" customFormat="1" ht="39.75" thickTop="1" thickBot="1" x14ac:dyDescent="0.3">
      <c r="A60" s="293" t="s">
        <v>127</v>
      </c>
      <c r="B60" s="294" t="s">
        <v>161</v>
      </c>
      <c r="C60" s="295" t="s">
        <v>162</v>
      </c>
      <c r="D60" s="218" t="s">
        <v>108</v>
      </c>
      <c r="E60" s="219" t="s">
        <v>130</v>
      </c>
      <c r="F60" s="218" t="s">
        <v>131</v>
      </c>
      <c r="G60" s="220" t="s">
        <v>2</v>
      </c>
    </row>
    <row r="61" spans="1:8" s="226" customFormat="1" ht="13.5" thickTop="1" thickBot="1" x14ac:dyDescent="0.25">
      <c r="A61" s="293">
        <v>1</v>
      </c>
      <c r="B61" s="295">
        <v>2</v>
      </c>
      <c r="C61" s="295">
        <v>3</v>
      </c>
      <c r="D61" s="224">
        <v>4</v>
      </c>
      <c r="E61" s="224">
        <v>5</v>
      </c>
      <c r="F61" s="224">
        <v>6</v>
      </c>
      <c r="G61" s="225" t="s">
        <v>132</v>
      </c>
    </row>
    <row r="62" spans="1:8" s="233" customFormat="1" ht="15" thickTop="1" x14ac:dyDescent="0.2">
      <c r="A62" s="302"/>
      <c r="B62" s="303">
        <v>1332</v>
      </c>
      <c r="C62" s="304" t="s">
        <v>165</v>
      </c>
      <c r="D62" s="230">
        <v>4000</v>
      </c>
      <c r="E62" s="305">
        <v>4000</v>
      </c>
      <c r="F62" s="230">
        <v>4000</v>
      </c>
      <c r="G62" s="232">
        <f>F62/D62*100</f>
        <v>100</v>
      </c>
      <c r="H62" s="266"/>
    </row>
    <row r="63" spans="1:8" s="233" customFormat="1" ht="14.25" x14ac:dyDescent="0.2">
      <c r="A63" s="261"/>
      <c r="B63" s="256">
        <v>1357</v>
      </c>
      <c r="C63" s="257" t="s">
        <v>166</v>
      </c>
      <c r="D63" s="296">
        <v>0</v>
      </c>
      <c r="E63" s="237">
        <v>30000</v>
      </c>
      <c r="F63" s="296">
        <v>30000</v>
      </c>
      <c r="G63" s="239"/>
      <c r="H63" s="266"/>
    </row>
    <row r="64" spans="1:8" s="233" customFormat="1" ht="14.25" x14ac:dyDescent="0.2">
      <c r="A64" s="261">
        <v>6172</v>
      </c>
      <c r="B64" s="256">
        <v>2212</v>
      </c>
      <c r="C64" s="257" t="s">
        <v>145</v>
      </c>
      <c r="D64" s="296">
        <v>0</v>
      </c>
      <c r="E64" s="237">
        <v>0</v>
      </c>
      <c r="F64" s="238">
        <v>300</v>
      </c>
      <c r="G64" s="239"/>
      <c r="H64" s="266"/>
    </row>
    <row r="65" spans="1:10" s="233" customFormat="1" ht="15" thickBot="1" x14ac:dyDescent="0.3">
      <c r="A65" s="306">
        <v>2399</v>
      </c>
      <c r="B65" s="235">
        <v>2342</v>
      </c>
      <c r="C65" s="236" t="s">
        <v>167</v>
      </c>
      <c r="D65" s="296">
        <v>30000</v>
      </c>
      <c r="E65" s="237">
        <v>0</v>
      </c>
      <c r="F65" s="296">
        <v>0</v>
      </c>
      <c r="G65" s="239">
        <f>F65/D65*100</f>
        <v>0</v>
      </c>
      <c r="H65" s="266"/>
    </row>
    <row r="66" spans="1:10" s="307" customFormat="1" ht="18.75" customHeight="1" thickTop="1" thickBot="1" x14ac:dyDescent="0.3">
      <c r="A66" s="1031" t="s">
        <v>159</v>
      </c>
      <c r="B66" s="1032"/>
      <c r="C66" s="1032"/>
      <c r="D66" s="298">
        <f>SUM(D62:D65)</f>
        <v>34000</v>
      </c>
      <c r="E66" s="298">
        <f t="shared" ref="E66:F66" si="4">SUM(E62:E65)</f>
        <v>34000</v>
      </c>
      <c r="F66" s="298">
        <f t="shared" si="4"/>
        <v>34300</v>
      </c>
      <c r="G66" s="289">
        <f>F66/D66*100</f>
        <v>100.88235294117646</v>
      </c>
      <c r="H66" s="299"/>
      <c r="J66" s="308"/>
    </row>
    <row r="67" spans="1:10" ht="15" thickTop="1" x14ac:dyDescent="0.2">
      <c r="A67" s="209"/>
      <c r="B67" s="209"/>
      <c r="C67" s="209"/>
      <c r="D67" s="209"/>
      <c r="E67" s="209"/>
      <c r="F67" s="213"/>
      <c r="G67" s="309"/>
      <c r="H67" s="209"/>
      <c r="J67" s="310"/>
    </row>
    <row r="68" spans="1:10" s="307" customFormat="1" ht="27.75" customHeight="1" thickBot="1" x14ac:dyDescent="0.3">
      <c r="A68" s="311" t="s">
        <v>14</v>
      </c>
      <c r="B68" s="311"/>
      <c r="C68" s="311"/>
      <c r="D68" s="312">
        <f>SUM(D66,D48,D39)</f>
        <v>6106203</v>
      </c>
      <c r="E68" s="312">
        <f t="shared" ref="E68:F68" si="5">SUM(E66,E48,E39)</f>
        <v>5323964</v>
      </c>
      <c r="F68" s="312">
        <f t="shared" si="5"/>
        <v>5867450</v>
      </c>
      <c r="G68" s="313">
        <f>F68/D68*100</f>
        <v>96.089992422459588</v>
      </c>
      <c r="H68" s="299"/>
    </row>
    <row r="69" spans="1:10" ht="14.25" customHeight="1" thickTop="1" x14ac:dyDescent="0.2">
      <c r="A69" s="209"/>
      <c r="B69" s="209"/>
      <c r="C69" s="209"/>
      <c r="D69" s="209"/>
      <c r="E69" s="209"/>
      <c r="F69" s="213"/>
      <c r="G69" s="292"/>
      <c r="H69" s="209"/>
    </row>
    <row r="70" spans="1:10" ht="14.25" customHeight="1" x14ac:dyDescent="0.2">
      <c r="A70" s="209"/>
      <c r="B70" s="209"/>
      <c r="C70" s="209"/>
      <c r="D70" s="209"/>
      <c r="E70" s="209"/>
      <c r="F70" s="213"/>
      <c r="G70" s="292"/>
      <c r="H70" s="209"/>
    </row>
    <row r="71" spans="1:10" ht="14.25" customHeight="1" x14ac:dyDescent="0.2">
      <c r="A71" s="209"/>
      <c r="B71" s="209"/>
      <c r="C71" s="209"/>
      <c r="D71" s="209"/>
      <c r="E71" s="209"/>
      <c r="F71" s="213"/>
      <c r="G71" s="292"/>
      <c r="H71" s="209"/>
    </row>
    <row r="72" spans="1:10" ht="14.25" x14ac:dyDescent="0.2">
      <c r="A72" s="314" t="s">
        <v>168</v>
      </c>
      <c r="B72" s="209"/>
      <c r="C72" s="209"/>
      <c r="D72" s="209"/>
      <c r="E72" s="209"/>
      <c r="F72" s="213"/>
      <c r="G72" s="292"/>
      <c r="H72" s="209"/>
    </row>
    <row r="73" spans="1:10" ht="15.75" x14ac:dyDescent="0.25">
      <c r="A73" s="315" t="s">
        <v>14</v>
      </c>
      <c r="B73" s="315"/>
      <c r="C73" s="315"/>
      <c r="D73" s="316">
        <f>SUM(D68)</f>
        <v>6106203</v>
      </c>
      <c r="E73" s="316">
        <f>SUM(E68)</f>
        <v>5323964</v>
      </c>
      <c r="F73" s="316">
        <f t="shared" ref="F73" si="6">SUM(F68)</f>
        <v>5867450</v>
      </c>
      <c r="G73" s="317">
        <f>F73/D73*100</f>
        <v>96.089992422459588</v>
      </c>
      <c r="H73" s="209"/>
    </row>
    <row r="74" spans="1:10" ht="14.25" x14ac:dyDescent="0.2">
      <c r="A74" s="260" t="s">
        <v>15</v>
      </c>
      <c r="B74" s="260"/>
      <c r="C74" s="260"/>
      <c r="D74" s="262">
        <f>-D47</f>
        <v>-10527</v>
      </c>
      <c r="E74" s="262">
        <f>-E47</f>
        <v>-11411</v>
      </c>
      <c r="F74" s="262">
        <v>-11058</v>
      </c>
      <c r="G74" s="318">
        <f>F74/D74*100</f>
        <v>105.04417212881162</v>
      </c>
      <c r="H74" s="209"/>
    </row>
    <row r="75" spans="1:10" s="322" customFormat="1" ht="17.25" thickBot="1" x14ac:dyDescent="0.3">
      <c r="A75" s="1034" t="s">
        <v>169</v>
      </c>
      <c r="B75" s="1034"/>
      <c r="C75" s="1034"/>
      <c r="D75" s="319">
        <f>D73+D74</f>
        <v>6095676</v>
      </c>
      <c r="E75" s="319">
        <f>E73+E74</f>
        <v>5312553</v>
      </c>
      <c r="F75" s="319">
        <f>F73+F74</f>
        <v>5856392</v>
      </c>
      <c r="G75" s="320">
        <f>F75/D75*100</f>
        <v>96.074528895564654</v>
      </c>
      <c r="H75" s="321"/>
    </row>
    <row r="76" spans="1:10" s="209" customFormat="1" ht="14.25" customHeight="1" thickTop="1" x14ac:dyDescent="0.2">
      <c r="A76" s="1027" t="s">
        <v>170</v>
      </c>
      <c r="B76" s="1027"/>
      <c r="C76" s="1027"/>
      <c r="D76" s="1027"/>
      <c r="E76" s="1027"/>
      <c r="F76" s="1027"/>
      <c r="G76" s="1027"/>
    </row>
    <row r="77" spans="1:10" s="209" customFormat="1" ht="14.25" hidden="1" customHeight="1" x14ac:dyDescent="0.2">
      <c r="F77" s="213"/>
      <c r="G77" s="292"/>
    </row>
    <row r="78" spans="1:10" s="209" customFormat="1" ht="14.25" hidden="1" customHeight="1" x14ac:dyDescent="0.2">
      <c r="F78" s="213"/>
      <c r="G78" s="292"/>
    </row>
    <row r="79" spans="1:10" s="209" customFormat="1" ht="12.75" customHeight="1" x14ac:dyDescent="0.2">
      <c r="A79" s="1028" t="s">
        <v>171</v>
      </c>
      <c r="B79" s="1028"/>
      <c r="C79" s="1028"/>
      <c r="D79" s="1028"/>
      <c r="E79" s="1028"/>
      <c r="F79" s="1028"/>
      <c r="G79" s="1028"/>
      <c r="H79" s="323"/>
    </row>
    <row r="80" spans="1:10" s="209" customFormat="1" x14ac:dyDescent="0.2">
      <c r="A80" s="1028"/>
      <c r="B80" s="1028"/>
      <c r="C80" s="1028"/>
      <c r="D80" s="1028"/>
      <c r="E80" s="1028"/>
      <c r="F80" s="1028"/>
      <c r="G80" s="1028"/>
      <c r="H80" s="323"/>
    </row>
    <row r="81" spans="6:8" s="209" customFormat="1" x14ac:dyDescent="0.2">
      <c r="F81" s="324"/>
      <c r="G81" s="208"/>
      <c r="H81" s="323"/>
    </row>
    <row r="82" spans="6:8" s="209" customFormat="1" x14ac:dyDescent="0.2">
      <c r="G82" s="208"/>
      <c r="H82" s="323"/>
    </row>
    <row r="83" spans="6:8" x14ac:dyDescent="0.2">
      <c r="F83" s="291"/>
    </row>
  </sheetData>
  <mergeCells count="8">
    <mergeCell ref="A76:G76"/>
    <mergeCell ref="A79:G80"/>
    <mergeCell ref="A1:F1"/>
    <mergeCell ref="A39:C39"/>
    <mergeCell ref="A48:C48"/>
    <mergeCell ref="A59:F59"/>
    <mergeCell ref="A66:C66"/>
    <mergeCell ref="A75:C75"/>
  </mergeCells>
  <pageMargins left="0.78740157480314965" right="0.78740157480314965" top="0.98425196850393704" bottom="0.98425196850393704" header="0.51181102362204722" footer="0.51181102362204722"/>
  <pageSetup paperSize="9" scale="70" firstPageNumber="8" orientation="portrait" useFirstPageNumber="1" r:id="rId1"/>
  <headerFooter alignWithMargins="0">
    <oddFooter>&amp;L&amp;"Arial,Kurzíva"Zastupitelstvo Olomouckého kraje 21-12-2020
11. - Rozpočet Olomouckého kraje 2021 - návrh rozpočtu
Příloha č. 1: Návrh rozpočtu OK na rok 2021 (bilance) - zkrácená verze&amp;R&amp;"Arial,Kurzíva"Strana &amp;P (Celkem 150)</oddFooter>
  </headerFooter>
  <rowBreaks count="1" manualBreakCount="1">
    <brk id="4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196"/>
  <sheetViews>
    <sheetView showGridLines="0" view="pageBreakPreview" topLeftCell="A7" zoomScaleNormal="100" zoomScaleSheetLayoutView="100" workbookViewId="0">
      <selection activeCell="L12" sqref="L12"/>
    </sheetView>
  </sheetViews>
  <sheetFormatPr defaultColWidth="9.140625" defaultRowHeight="12.75" x14ac:dyDescent="0.2"/>
  <cols>
    <col min="1" max="1" width="9.140625" style="327"/>
    <col min="2" max="2" width="42.42578125" style="327" customWidth="1"/>
    <col min="3" max="3" width="4.28515625" style="327" customWidth="1"/>
    <col min="4" max="5" width="15.7109375" style="328" hidden="1" customWidth="1"/>
    <col min="6" max="6" width="18.42578125" style="328" customWidth="1"/>
    <col min="7" max="7" width="18.140625" style="328" bestFit="1" customWidth="1"/>
    <col min="8" max="8" width="18.42578125" style="328" customWidth="1"/>
    <col min="9" max="9" width="9" style="329" customWidth="1"/>
    <col min="10" max="10" width="3.140625" style="327" customWidth="1"/>
    <col min="11" max="11" width="10.140625" style="330" customWidth="1"/>
    <col min="12" max="12" width="10.140625" style="331" customWidth="1"/>
    <col min="13" max="13" width="10.140625" style="327" customWidth="1"/>
    <col min="14" max="14" width="10" style="327" bestFit="1" customWidth="1"/>
    <col min="15" max="16384" width="9.140625" style="327"/>
  </cols>
  <sheetData>
    <row r="1" spans="1:14" ht="20.25" x14ac:dyDescent="0.3">
      <c r="A1" s="326" t="s">
        <v>187</v>
      </c>
    </row>
    <row r="2" spans="1:14" ht="15.75" x14ac:dyDescent="0.25">
      <c r="A2" s="332"/>
    </row>
    <row r="3" spans="1:14" ht="15.75" x14ac:dyDescent="0.25">
      <c r="A3" s="332" t="s">
        <v>188</v>
      </c>
    </row>
    <row r="4" spans="1:14" ht="13.5" thickBot="1" x14ac:dyDescent="0.25">
      <c r="D4" s="333"/>
      <c r="E4" s="333"/>
      <c r="F4" s="333"/>
      <c r="G4" s="333"/>
      <c r="H4" s="333"/>
      <c r="I4" s="334" t="s">
        <v>126</v>
      </c>
    </row>
    <row r="5" spans="1:14" ht="39" customHeight="1" thickTop="1" thickBot="1" x14ac:dyDescent="0.25">
      <c r="A5" s="1037" t="s">
        <v>173</v>
      </c>
      <c r="B5" s="1038"/>
      <c r="C5" s="335" t="s">
        <v>174</v>
      </c>
      <c r="D5" s="336" t="s">
        <v>80</v>
      </c>
      <c r="E5" s="336" t="s">
        <v>81</v>
      </c>
      <c r="F5" s="336" t="s">
        <v>108</v>
      </c>
      <c r="G5" s="336" t="s">
        <v>130</v>
      </c>
      <c r="H5" s="336" t="s">
        <v>131</v>
      </c>
      <c r="I5" s="337" t="s">
        <v>2</v>
      </c>
    </row>
    <row r="6" spans="1:14" ht="14.25" thickTop="1" thickBot="1" x14ac:dyDescent="0.25">
      <c r="A6" s="1039">
        <v>1</v>
      </c>
      <c r="B6" s="1040"/>
      <c r="C6" s="338">
        <v>2</v>
      </c>
      <c r="D6" s="339" t="s">
        <v>175</v>
      </c>
      <c r="E6" s="339" t="s">
        <v>176</v>
      </c>
      <c r="F6" s="339">
        <v>3</v>
      </c>
      <c r="G6" s="339">
        <v>4</v>
      </c>
      <c r="H6" s="339">
        <v>5</v>
      </c>
      <c r="I6" s="340" t="s">
        <v>177</v>
      </c>
    </row>
    <row r="7" spans="1:14" s="344" customFormat="1" ht="18" customHeight="1" thickTop="1" x14ac:dyDescent="0.25">
      <c r="A7" s="1041" t="s">
        <v>26</v>
      </c>
      <c r="B7" s="1042"/>
      <c r="C7" s="341">
        <v>1</v>
      </c>
      <c r="D7" s="342">
        <v>25921</v>
      </c>
      <c r="E7" s="342">
        <v>28085</v>
      </c>
      <c r="F7" s="342">
        <f>SUM('[5]01'!E13)</f>
        <v>45868</v>
      </c>
      <c r="G7" s="342">
        <f>SUM('[5]01'!F13)</f>
        <v>46096</v>
      </c>
      <c r="H7" s="342">
        <f>SUM('[5]01'!G13)</f>
        <v>41281</v>
      </c>
      <c r="I7" s="343">
        <f>H7/F7*100</f>
        <v>89.999563966163777</v>
      </c>
    </row>
    <row r="8" spans="1:14" s="344" customFormat="1" ht="18" customHeight="1" x14ac:dyDescent="0.25">
      <c r="A8" s="1043" t="s">
        <v>49</v>
      </c>
      <c r="B8" s="1044"/>
      <c r="C8" s="345">
        <v>3</v>
      </c>
      <c r="D8" s="346">
        <v>305370</v>
      </c>
      <c r="E8" s="346">
        <v>315147</v>
      </c>
      <c r="F8" s="346">
        <f>SUM('[5]03'!E13)</f>
        <v>425240</v>
      </c>
      <c r="G8" s="346">
        <f>SUM('[5]03'!F13)</f>
        <v>456732</v>
      </c>
      <c r="H8" s="346">
        <f>SUM('[5]03'!G13)</f>
        <v>432487</v>
      </c>
      <c r="I8" s="347">
        <f>H8/F8*100</f>
        <v>101.70421409086634</v>
      </c>
      <c r="N8" s="348"/>
    </row>
    <row r="9" spans="1:14" s="344" customFormat="1" ht="18" customHeight="1" x14ac:dyDescent="0.25">
      <c r="A9" s="1045" t="s">
        <v>178</v>
      </c>
      <c r="B9" s="1046"/>
      <c r="C9" s="345">
        <v>4</v>
      </c>
      <c r="D9" s="346">
        <v>37794</v>
      </c>
      <c r="E9" s="346">
        <f>24167+14</f>
        <v>24181</v>
      </c>
      <c r="F9" s="346">
        <f>SUM('[5]04'!E12)</f>
        <v>4842</v>
      </c>
      <c r="G9" s="346">
        <f>SUM('[5]04'!F12)</f>
        <v>9882</v>
      </c>
      <c r="H9" s="346">
        <f>SUM('[5]04'!G12)</f>
        <v>4494</v>
      </c>
      <c r="I9" s="347">
        <f t="shared" ref="I9:I23" si="0">H9/F9*100</f>
        <v>92.81288723667906</v>
      </c>
    </row>
    <row r="10" spans="1:14" s="349" customFormat="1" ht="18" customHeight="1" x14ac:dyDescent="0.25">
      <c r="A10" s="1045" t="s">
        <v>179</v>
      </c>
      <c r="B10" s="1046"/>
      <c r="C10" s="345">
        <v>6</v>
      </c>
      <c r="D10" s="346">
        <v>24589</v>
      </c>
      <c r="E10" s="346">
        <v>28131</v>
      </c>
      <c r="F10" s="346">
        <f>SUM('[5]06'!E10)</f>
        <v>35531</v>
      </c>
      <c r="G10" s="346">
        <f>SUM('[5]06'!F10)</f>
        <v>32873</v>
      </c>
      <c r="H10" s="346">
        <f>SUM('[5]06'!G10)</f>
        <v>28260</v>
      </c>
      <c r="I10" s="347">
        <f>H10/F10*100</f>
        <v>79.536179674087421</v>
      </c>
      <c r="J10" s="344"/>
      <c r="K10" s="344"/>
      <c r="L10" s="344"/>
    </row>
    <row r="11" spans="1:14" s="344" customFormat="1" ht="18" customHeight="1" x14ac:dyDescent="0.25">
      <c r="A11" s="1043" t="s">
        <v>180</v>
      </c>
      <c r="B11" s="1044"/>
      <c r="C11" s="345">
        <v>7</v>
      </c>
      <c r="D11" s="346">
        <v>46380</v>
      </c>
      <c r="E11" s="346">
        <v>45038</v>
      </c>
      <c r="F11" s="346">
        <f>SUM('[5]07'!E12)</f>
        <v>205487</v>
      </c>
      <c r="G11" s="346">
        <f>SUM('[5]07'!F12)</f>
        <v>194002</v>
      </c>
      <c r="H11" s="346">
        <f>SUM('[5]07'!G12)</f>
        <v>169670</v>
      </c>
      <c r="I11" s="347">
        <f t="shared" si="0"/>
        <v>82.569700273009971</v>
      </c>
    </row>
    <row r="12" spans="1:14" s="351" customFormat="1" ht="18" customHeight="1" x14ac:dyDescent="0.25">
      <c r="A12" s="1047" t="s">
        <v>57</v>
      </c>
      <c r="B12" s="1048"/>
      <c r="C12" s="345">
        <v>8</v>
      </c>
      <c r="D12" s="350">
        <v>7505</v>
      </c>
      <c r="E12" s="350">
        <v>9297</v>
      </c>
      <c r="F12" s="350">
        <f>SUM('[5]08'!E18)</f>
        <v>28176</v>
      </c>
      <c r="G12" s="350">
        <f>SUM('[5]08'!F18)</f>
        <v>28776</v>
      </c>
      <c r="H12" s="350">
        <f>SUM('[5]08'!G18)</f>
        <v>20109</v>
      </c>
      <c r="I12" s="347">
        <f>H12/F12*100</f>
        <v>71.369250425894379</v>
      </c>
    </row>
    <row r="13" spans="1:14" s="352" customFormat="1" ht="18" customHeight="1" x14ac:dyDescent="0.25">
      <c r="A13" s="1043" t="s">
        <v>181</v>
      </c>
      <c r="B13" s="1044"/>
      <c r="C13" s="345">
        <v>9</v>
      </c>
      <c r="D13" s="346">
        <v>4793</v>
      </c>
      <c r="E13" s="346">
        <v>5130</v>
      </c>
      <c r="F13" s="346">
        <f>SUM('[5]09'!E18)</f>
        <v>6152</v>
      </c>
      <c r="G13" s="346">
        <f>SUM('[5]09'!F18)</f>
        <v>6152</v>
      </c>
      <c r="H13" s="346">
        <f>SUM('[5]09'!G18)</f>
        <v>3437</v>
      </c>
      <c r="I13" s="347">
        <f t="shared" si="0"/>
        <v>55.868010403120941</v>
      </c>
      <c r="N13" s="353"/>
    </row>
    <row r="14" spans="1:14" s="352" customFormat="1" ht="18" customHeight="1" x14ac:dyDescent="0.25">
      <c r="A14" s="1043" t="s">
        <v>85</v>
      </c>
      <c r="B14" s="1044"/>
      <c r="C14" s="354">
        <v>10</v>
      </c>
      <c r="D14" s="346">
        <v>14184</v>
      </c>
      <c r="E14" s="346">
        <f>10107+870</f>
        <v>10977</v>
      </c>
      <c r="F14" s="346">
        <f>SUM('[5]10'!E16)</f>
        <v>12090</v>
      </c>
      <c r="G14" s="346">
        <f>SUM('[5]10'!F16)</f>
        <v>12006</v>
      </c>
      <c r="H14" s="346">
        <f>SUM('[5]10'!G16)</f>
        <v>10781</v>
      </c>
      <c r="I14" s="347">
        <f t="shared" si="0"/>
        <v>89.172870140612076</v>
      </c>
    </row>
    <row r="15" spans="1:14" s="344" customFormat="1" ht="18" customHeight="1" x14ac:dyDescent="0.25">
      <c r="A15" s="1043" t="s">
        <v>182</v>
      </c>
      <c r="B15" s="1044"/>
      <c r="C15" s="354">
        <v>11</v>
      </c>
      <c r="D15" s="346">
        <v>5245</v>
      </c>
      <c r="E15" s="346">
        <v>1330</v>
      </c>
      <c r="F15" s="346">
        <f>SUM('[5]11'!E16)</f>
        <v>6205</v>
      </c>
      <c r="G15" s="346">
        <f>SUM('[5]11'!F16)</f>
        <v>2180</v>
      </c>
      <c r="H15" s="346">
        <f>SUM('[5]11'!G16)</f>
        <v>1707</v>
      </c>
      <c r="I15" s="347">
        <f t="shared" si="0"/>
        <v>27.51007252215955</v>
      </c>
      <c r="N15" s="348"/>
    </row>
    <row r="16" spans="1:14" s="344" customFormat="1" ht="18" customHeight="1" x14ac:dyDescent="0.25">
      <c r="A16" s="1035" t="s">
        <v>183</v>
      </c>
      <c r="B16" s="1036"/>
      <c r="C16" s="354">
        <v>12</v>
      </c>
      <c r="D16" s="346">
        <v>835</v>
      </c>
      <c r="E16" s="346">
        <v>3238</v>
      </c>
      <c r="F16" s="346">
        <f>SUM('[5]12'!E13)</f>
        <v>600</v>
      </c>
      <c r="G16" s="346">
        <f>SUM('[5]12'!F13)</f>
        <v>644</v>
      </c>
      <c r="H16" s="346">
        <f>SUM('[5]12'!G13)</f>
        <v>2040</v>
      </c>
      <c r="I16" s="347">
        <f t="shared" si="0"/>
        <v>340</v>
      </c>
      <c r="J16" s="348"/>
      <c r="K16" s="348"/>
      <c r="L16" s="348"/>
      <c r="M16" s="348"/>
      <c r="N16" s="348"/>
    </row>
    <row r="17" spans="1:14" s="349" customFormat="1" ht="18" customHeight="1" x14ac:dyDescent="0.25">
      <c r="A17" s="1035" t="s">
        <v>86</v>
      </c>
      <c r="B17" s="1053"/>
      <c r="C17" s="354">
        <v>13</v>
      </c>
      <c r="D17" s="346">
        <v>9093</v>
      </c>
      <c r="E17" s="346">
        <v>1</v>
      </c>
      <c r="F17" s="346">
        <f>SUM('[5]13'!E13)</f>
        <v>15346</v>
      </c>
      <c r="G17" s="346">
        <f>SUM('[5]13'!F13)</f>
        <v>43061</v>
      </c>
      <c r="H17" s="346">
        <f>SUM('[5]13'!G13)</f>
        <v>22270</v>
      </c>
      <c r="I17" s="347">
        <f t="shared" si="0"/>
        <v>145.11924931578261</v>
      </c>
      <c r="J17" s="348"/>
      <c r="K17" s="348"/>
      <c r="L17" s="355"/>
      <c r="M17" s="355"/>
      <c r="N17" s="355"/>
    </row>
    <row r="18" spans="1:14" s="357" customFormat="1" ht="18" customHeight="1" x14ac:dyDescent="0.25">
      <c r="A18" s="1043" t="s">
        <v>184</v>
      </c>
      <c r="B18" s="1044"/>
      <c r="C18" s="356">
        <v>14</v>
      </c>
      <c r="D18" s="350">
        <v>18917</v>
      </c>
      <c r="E18" s="350">
        <v>21869</v>
      </c>
      <c r="F18" s="350">
        <f>SUM('[5]14'!E16)</f>
        <v>50310</v>
      </c>
      <c r="G18" s="350">
        <f>SUM('[5]14'!F16)</f>
        <v>50658</v>
      </c>
      <c r="H18" s="350">
        <f>SUM('[5]14'!G16)</f>
        <v>51610</v>
      </c>
      <c r="I18" s="347">
        <f t="shared" si="0"/>
        <v>102.58397932816537</v>
      </c>
      <c r="J18" s="352"/>
      <c r="K18" s="352"/>
      <c r="N18" s="358"/>
    </row>
    <row r="19" spans="1:14" s="344" customFormat="1" ht="18" customHeight="1" x14ac:dyDescent="0.25">
      <c r="A19" s="1035" t="s">
        <v>87</v>
      </c>
      <c r="B19" s="1054"/>
      <c r="C19" s="354">
        <v>17</v>
      </c>
      <c r="D19" s="346">
        <v>487</v>
      </c>
      <c r="E19" s="346">
        <v>989</v>
      </c>
      <c r="F19" s="346">
        <f>SUM('[5]17'!E11)</f>
        <v>1290</v>
      </c>
      <c r="G19" s="346">
        <f>SUM('[5]17'!F11)</f>
        <v>2179</v>
      </c>
      <c r="H19" s="346">
        <f>SUM('[5]17'!G11)</f>
        <v>1161</v>
      </c>
      <c r="I19" s="347">
        <f t="shared" si="0"/>
        <v>90</v>
      </c>
    </row>
    <row r="20" spans="1:14" s="344" customFormat="1" ht="18" customHeight="1" x14ac:dyDescent="0.25">
      <c r="A20" s="1035" t="s">
        <v>88</v>
      </c>
      <c r="B20" s="1036"/>
      <c r="C20" s="354">
        <v>18</v>
      </c>
      <c r="D20" s="346">
        <v>27425</v>
      </c>
      <c r="E20" s="346">
        <v>34572</v>
      </c>
      <c r="F20" s="346">
        <f>SUM('[5]18'!E27)</f>
        <v>57952</v>
      </c>
      <c r="G20" s="346">
        <f>SUM('[5]18'!F27)</f>
        <v>108691</v>
      </c>
      <c r="H20" s="346">
        <f>SUM('[5]18'!G27)</f>
        <v>72656</v>
      </c>
      <c r="I20" s="347">
        <f t="shared" si="0"/>
        <v>125.37272225289895</v>
      </c>
    </row>
    <row r="21" spans="1:14" s="344" customFormat="1" ht="18" customHeight="1" x14ac:dyDescent="0.25">
      <c r="A21" s="1047" t="s">
        <v>50</v>
      </c>
      <c r="B21" s="1048"/>
      <c r="C21" s="359">
        <v>19</v>
      </c>
      <c r="D21" s="360">
        <v>566</v>
      </c>
      <c r="E21" s="360">
        <v>33070</v>
      </c>
      <c r="F21" s="360">
        <f>SUM('[5]19'!E17)</f>
        <v>65982</v>
      </c>
      <c r="G21" s="360">
        <f>SUM('[5]19'!F17)</f>
        <v>64904</v>
      </c>
      <c r="H21" s="360">
        <f>SUM('[5]19'!G17)</f>
        <v>70485</v>
      </c>
      <c r="I21" s="347">
        <f t="shared" si="0"/>
        <v>106.82458852414294</v>
      </c>
      <c r="J21" s="361"/>
    </row>
    <row r="22" spans="1:14" s="349" customFormat="1" ht="18" customHeight="1" thickBot="1" x14ac:dyDescent="0.3">
      <c r="A22" s="1055" t="s">
        <v>185</v>
      </c>
      <c r="B22" s="1056"/>
      <c r="C22" s="354">
        <v>20</v>
      </c>
      <c r="D22" s="346">
        <f>SUM('[5]20'!C11)</f>
        <v>0</v>
      </c>
      <c r="E22" s="346">
        <f>SUM('[5]20'!D11)</f>
        <v>0</v>
      </c>
      <c r="F22" s="346">
        <f>SUM('[5]20'!E11)</f>
        <v>570</v>
      </c>
      <c r="G22" s="346">
        <f>SUM('[5]20'!F11)</f>
        <v>560</v>
      </c>
      <c r="H22" s="346">
        <f>SUM('[5]20'!G11)</f>
        <v>513</v>
      </c>
      <c r="I22" s="362">
        <f t="shared" si="0"/>
        <v>90</v>
      </c>
      <c r="J22" s="344"/>
    </row>
    <row r="23" spans="1:14" s="365" customFormat="1" ht="25.5" customHeight="1" thickTop="1" thickBot="1" x14ac:dyDescent="0.3">
      <c r="A23" s="1049" t="s">
        <v>186</v>
      </c>
      <c r="B23" s="1050"/>
      <c r="C23" s="1050"/>
      <c r="D23" s="363">
        <f>SUM(D7:D22)</f>
        <v>529104</v>
      </c>
      <c r="E23" s="363">
        <f>SUM(E7:E22)</f>
        <v>561055</v>
      </c>
      <c r="F23" s="363">
        <f>SUM(F7:F22)</f>
        <v>961641</v>
      </c>
      <c r="G23" s="363">
        <f>SUM(G7:G22)</f>
        <v>1059396</v>
      </c>
      <c r="H23" s="363">
        <f>SUM(H7:H22)</f>
        <v>932961</v>
      </c>
      <c r="I23" s="364">
        <f t="shared" si="0"/>
        <v>97.017598043344648</v>
      </c>
      <c r="K23" s="366"/>
      <c r="L23" s="367"/>
    </row>
    <row r="24" spans="1:14" ht="13.5" thickTop="1" x14ac:dyDescent="0.2">
      <c r="A24" s="1051"/>
      <c r="B24" s="1051"/>
      <c r="C24" s="1051"/>
      <c r="D24" s="1051"/>
      <c r="E24" s="1051"/>
      <c r="F24" s="1051"/>
      <c r="G24" s="1051"/>
      <c r="H24" s="1051"/>
      <c r="I24" s="1051"/>
    </row>
    <row r="25" spans="1:14" x14ac:dyDescent="0.2">
      <c r="A25" s="1052"/>
      <c r="B25" s="1052"/>
      <c r="C25" s="1052"/>
      <c r="D25" s="1052"/>
      <c r="E25" s="1052"/>
      <c r="F25" s="1052"/>
      <c r="G25" s="1052"/>
      <c r="H25" s="1052"/>
      <c r="I25" s="1052"/>
    </row>
    <row r="26" spans="1:14" x14ac:dyDescent="0.2">
      <c r="A26" s="903" t="s">
        <v>488</v>
      </c>
      <c r="B26" s="368"/>
      <c r="C26" s="368"/>
      <c r="D26" s="369"/>
      <c r="E26" s="369"/>
      <c r="F26" s="369"/>
      <c r="G26" s="369"/>
      <c r="H26" s="369"/>
      <c r="I26" s="370"/>
    </row>
    <row r="27" spans="1:14" ht="14.25" x14ac:dyDescent="0.2">
      <c r="A27" s="351" t="s">
        <v>489</v>
      </c>
      <c r="B27" s="351"/>
      <c r="C27" s="351"/>
      <c r="D27" s="351"/>
      <c r="E27" s="351"/>
      <c r="F27" s="371">
        <f>F23-38278-338272</f>
        <v>585091</v>
      </c>
      <c r="G27" s="371">
        <f>G23-38988-369580</f>
        <v>650828</v>
      </c>
      <c r="H27" s="371">
        <f>H23-35067-356013</f>
        <v>541881</v>
      </c>
      <c r="I27" s="904">
        <f>H27/F27*100</f>
        <v>92.614824018827846</v>
      </c>
    </row>
    <row r="28" spans="1:14" ht="14.25" x14ac:dyDescent="0.2">
      <c r="A28" s="365" t="s">
        <v>490</v>
      </c>
      <c r="B28" s="365"/>
      <c r="C28" s="365"/>
      <c r="D28" s="371"/>
      <c r="E28" s="371"/>
      <c r="F28" s="371">
        <f>38278+338272</f>
        <v>376550</v>
      </c>
      <c r="G28" s="371">
        <f>38988+369580</f>
        <v>408568</v>
      </c>
      <c r="H28" s="371">
        <f>35067+356013</f>
        <v>391080</v>
      </c>
      <c r="I28" s="905">
        <f>H28/F28*100</f>
        <v>103.85871730181915</v>
      </c>
    </row>
    <row r="29" spans="1:14" ht="15.75" thickBot="1" x14ac:dyDescent="0.3">
      <c r="A29" s="906" t="s">
        <v>491</v>
      </c>
      <c r="B29" s="906"/>
      <c r="C29" s="906"/>
      <c r="D29" s="906"/>
      <c r="E29" s="906"/>
      <c r="F29" s="907">
        <f>SUM(F27:F28)</f>
        <v>961641</v>
      </c>
      <c r="G29" s="907">
        <f>SUM(G27:G28)</f>
        <v>1059396</v>
      </c>
      <c r="H29" s="907">
        <f>SUM(H27:H28)</f>
        <v>932961</v>
      </c>
      <c r="I29" s="908">
        <f>H29/F29*100</f>
        <v>97.017598043344648</v>
      </c>
    </row>
    <row r="30" spans="1:14" ht="13.5" thickTop="1" x14ac:dyDescent="0.2"/>
    <row r="38" spans="9:9" x14ac:dyDescent="0.2">
      <c r="I38" s="328"/>
    </row>
    <row r="39" spans="9:9" x14ac:dyDescent="0.2">
      <c r="I39" s="328"/>
    </row>
    <row r="40" spans="9:9" x14ac:dyDescent="0.2">
      <c r="I40" s="328"/>
    </row>
    <row r="41" spans="9:9" x14ac:dyDescent="0.2">
      <c r="I41" s="328"/>
    </row>
    <row r="42" spans="9:9" x14ac:dyDescent="0.2">
      <c r="I42" s="328"/>
    </row>
    <row r="43" spans="9:9" x14ac:dyDescent="0.2">
      <c r="I43" s="328"/>
    </row>
    <row r="44" spans="9:9" x14ac:dyDescent="0.2">
      <c r="I44" s="328"/>
    </row>
    <row r="45" spans="9:9" x14ac:dyDescent="0.2">
      <c r="I45" s="328"/>
    </row>
    <row r="46" spans="9:9" x14ac:dyDescent="0.2">
      <c r="I46" s="328"/>
    </row>
    <row r="47" spans="9:9" x14ac:dyDescent="0.2">
      <c r="I47" s="328"/>
    </row>
    <row r="48" spans="9:9" x14ac:dyDescent="0.2">
      <c r="I48" s="328"/>
    </row>
    <row r="49" spans="9:9" x14ac:dyDescent="0.2">
      <c r="I49" s="328"/>
    </row>
    <row r="50" spans="9:9" x14ac:dyDescent="0.2">
      <c r="I50" s="328"/>
    </row>
    <row r="51" spans="9:9" x14ac:dyDescent="0.2">
      <c r="I51" s="328"/>
    </row>
    <row r="52" spans="9:9" x14ac:dyDescent="0.2">
      <c r="I52" s="328"/>
    </row>
    <row r="53" spans="9:9" x14ac:dyDescent="0.2">
      <c r="I53" s="328"/>
    </row>
    <row r="54" spans="9:9" x14ac:dyDescent="0.2">
      <c r="I54" s="328"/>
    </row>
    <row r="55" spans="9:9" x14ac:dyDescent="0.2">
      <c r="I55" s="328"/>
    </row>
    <row r="56" spans="9:9" x14ac:dyDescent="0.2">
      <c r="I56" s="328"/>
    </row>
    <row r="57" spans="9:9" x14ac:dyDescent="0.2">
      <c r="I57" s="328"/>
    </row>
    <row r="58" spans="9:9" x14ac:dyDescent="0.2">
      <c r="I58" s="328"/>
    </row>
    <row r="59" spans="9:9" x14ac:dyDescent="0.2">
      <c r="I59" s="328"/>
    </row>
    <row r="60" spans="9:9" x14ac:dyDescent="0.2">
      <c r="I60" s="328"/>
    </row>
    <row r="61" spans="9:9" x14ac:dyDescent="0.2">
      <c r="I61" s="328"/>
    </row>
    <row r="62" spans="9:9" x14ac:dyDescent="0.2">
      <c r="I62" s="328"/>
    </row>
    <row r="63" spans="9:9" x14ac:dyDescent="0.2">
      <c r="I63" s="328"/>
    </row>
    <row r="64" spans="9:9" x14ac:dyDescent="0.2">
      <c r="I64" s="328"/>
    </row>
    <row r="65" spans="9:9" x14ac:dyDescent="0.2">
      <c r="I65" s="328"/>
    </row>
    <row r="66" spans="9:9" x14ac:dyDescent="0.2">
      <c r="I66" s="328"/>
    </row>
    <row r="67" spans="9:9" x14ac:dyDescent="0.2">
      <c r="I67" s="328"/>
    </row>
    <row r="68" spans="9:9" x14ac:dyDescent="0.2">
      <c r="I68" s="328"/>
    </row>
    <row r="69" spans="9:9" x14ac:dyDescent="0.2">
      <c r="I69" s="328"/>
    </row>
    <row r="70" spans="9:9" x14ac:dyDescent="0.2">
      <c r="I70" s="328"/>
    </row>
    <row r="71" spans="9:9" x14ac:dyDescent="0.2">
      <c r="I71" s="328"/>
    </row>
    <row r="72" spans="9:9" x14ac:dyDescent="0.2">
      <c r="I72" s="328"/>
    </row>
    <row r="73" spans="9:9" x14ac:dyDescent="0.2">
      <c r="I73" s="328"/>
    </row>
    <row r="74" spans="9:9" x14ac:dyDescent="0.2">
      <c r="I74" s="328"/>
    </row>
    <row r="75" spans="9:9" x14ac:dyDescent="0.2">
      <c r="I75" s="328"/>
    </row>
    <row r="76" spans="9:9" x14ac:dyDescent="0.2">
      <c r="I76" s="328"/>
    </row>
    <row r="77" spans="9:9" x14ac:dyDescent="0.2">
      <c r="I77" s="328"/>
    </row>
    <row r="78" spans="9:9" x14ac:dyDescent="0.2">
      <c r="I78" s="328"/>
    </row>
    <row r="79" spans="9:9" x14ac:dyDescent="0.2">
      <c r="I79" s="328"/>
    </row>
    <row r="80" spans="9:9" x14ac:dyDescent="0.2">
      <c r="I80" s="328"/>
    </row>
    <row r="81" spans="9:9" x14ac:dyDescent="0.2">
      <c r="I81" s="328"/>
    </row>
    <row r="82" spans="9:9" x14ac:dyDescent="0.2">
      <c r="I82" s="328"/>
    </row>
    <row r="83" spans="9:9" x14ac:dyDescent="0.2">
      <c r="I83" s="328"/>
    </row>
    <row r="84" spans="9:9" x14ac:dyDescent="0.2">
      <c r="I84" s="328"/>
    </row>
    <row r="85" spans="9:9" x14ac:dyDescent="0.2">
      <c r="I85" s="328"/>
    </row>
    <row r="86" spans="9:9" x14ac:dyDescent="0.2">
      <c r="I86" s="328"/>
    </row>
    <row r="87" spans="9:9" x14ac:dyDescent="0.2">
      <c r="I87" s="328"/>
    </row>
    <row r="88" spans="9:9" x14ac:dyDescent="0.2">
      <c r="I88" s="328"/>
    </row>
    <row r="89" spans="9:9" x14ac:dyDescent="0.2">
      <c r="I89" s="328"/>
    </row>
    <row r="90" spans="9:9" x14ac:dyDescent="0.2">
      <c r="I90" s="328"/>
    </row>
    <row r="91" spans="9:9" x14ac:dyDescent="0.2">
      <c r="I91" s="328"/>
    </row>
    <row r="92" spans="9:9" x14ac:dyDescent="0.2">
      <c r="I92" s="328"/>
    </row>
    <row r="93" spans="9:9" x14ac:dyDescent="0.2">
      <c r="I93" s="328"/>
    </row>
    <row r="94" spans="9:9" x14ac:dyDescent="0.2">
      <c r="I94" s="328"/>
    </row>
    <row r="95" spans="9:9" x14ac:dyDescent="0.2">
      <c r="I95" s="328"/>
    </row>
    <row r="96" spans="9:9" x14ac:dyDescent="0.2">
      <c r="I96" s="328"/>
    </row>
    <row r="97" spans="9:9" x14ac:dyDescent="0.2">
      <c r="I97" s="328"/>
    </row>
    <row r="98" spans="9:9" x14ac:dyDescent="0.2">
      <c r="I98" s="328"/>
    </row>
    <row r="99" spans="9:9" x14ac:dyDescent="0.2">
      <c r="I99" s="328"/>
    </row>
    <row r="100" spans="9:9" x14ac:dyDescent="0.2">
      <c r="I100" s="328"/>
    </row>
    <row r="101" spans="9:9" x14ac:dyDescent="0.2">
      <c r="I101" s="328"/>
    </row>
    <row r="102" spans="9:9" x14ac:dyDescent="0.2">
      <c r="I102" s="328"/>
    </row>
    <row r="103" spans="9:9" x14ac:dyDescent="0.2">
      <c r="I103" s="328"/>
    </row>
    <row r="104" spans="9:9" x14ac:dyDescent="0.2">
      <c r="I104" s="328"/>
    </row>
    <row r="105" spans="9:9" x14ac:dyDescent="0.2">
      <c r="I105" s="328"/>
    </row>
    <row r="106" spans="9:9" x14ac:dyDescent="0.2">
      <c r="I106" s="328"/>
    </row>
    <row r="107" spans="9:9" x14ac:dyDescent="0.2">
      <c r="I107" s="328"/>
    </row>
    <row r="108" spans="9:9" x14ac:dyDescent="0.2">
      <c r="I108" s="328"/>
    </row>
    <row r="109" spans="9:9" x14ac:dyDescent="0.2">
      <c r="I109" s="328"/>
    </row>
    <row r="110" spans="9:9" x14ac:dyDescent="0.2">
      <c r="I110" s="328"/>
    </row>
    <row r="111" spans="9:9" x14ac:dyDescent="0.2">
      <c r="I111" s="328"/>
    </row>
    <row r="112" spans="9:9" x14ac:dyDescent="0.2">
      <c r="I112" s="328"/>
    </row>
    <row r="113" spans="9:9" x14ac:dyDescent="0.2">
      <c r="I113" s="328"/>
    </row>
    <row r="114" spans="9:9" x14ac:dyDescent="0.2">
      <c r="I114" s="328"/>
    </row>
    <row r="115" spans="9:9" x14ac:dyDescent="0.2">
      <c r="I115" s="328"/>
    </row>
    <row r="116" spans="9:9" x14ac:dyDescent="0.2">
      <c r="I116" s="328"/>
    </row>
    <row r="117" spans="9:9" x14ac:dyDescent="0.2">
      <c r="I117" s="328"/>
    </row>
    <row r="118" spans="9:9" x14ac:dyDescent="0.2">
      <c r="I118" s="328"/>
    </row>
    <row r="119" spans="9:9" x14ac:dyDescent="0.2">
      <c r="I119" s="328"/>
    </row>
    <row r="120" spans="9:9" x14ac:dyDescent="0.2">
      <c r="I120" s="328"/>
    </row>
    <row r="121" spans="9:9" x14ac:dyDescent="0.2">
      <c r="I121" s="328"/>
    </row>
    <row r="122" spans="9:9" x14ac:dyDescent="0.2">
      <c r="I122" s="328"/>
    </row>
    <row r="123" spans="9:9" x14ac:dyDescent="0.2">
      <c r="I123" s="328"/>
    </row>
    <row r="124" spans="9:9" x14ac:dyDescent="0.2">
      <c r="I124" s="328"/>
    </row>
    <row r="125" spans="9:9" x14ac:dyDescent="0.2">
      <c r="I125" s="328"/>
    </row>
    <row r="126" spans="9:9" x14ac:dyDescent="0.2">
      <c r="I126" s="328"/>
    </row>
    <row r="127" spans="9:9" x14ac:dyDescent="0.2">
      <c r="I127" s="328"/>
    </row>
    <row r="128" spans="9:9" x14ac:dyDescent="0.2">
      <c r="I128" s="328"/>
    </row>
    <row r="129" spans="9:9" x14ac:dyDescent="0.2">
      <c r="I129" s="328"/>
    </row>
    <row r="130" spans="9:9" x14ac:dyDescent="0.2">
      <c r="I130" s="328"/>
    </row>
    <row r="131" spans="9:9" x14ac:dyDescent="0.2">
      <c r="I131" s="328"/>
    </row>
    <row r="132" spans="9:9" x14ac:dyDescent="0.2">
      <c r="I132" s="328"/>
    </row>
    <row r="133" spans="9:9" x14ac:dyDescent="0.2">
      <c r="I133" s="328"/>
    </row>
    <row r="134" spans="9:9" x14ac:dyDescent="0.2">
      <c r="I134" s="328"/>
    </row>
    <row r="135" spans="9:9" x14ac:dyDescent="0.2">
      <c r="I135" s="328"/>
    </row>
    <row r="136" spans="9:9" x14ac:dyDescent="0.2">
      <c r="I136" s="328"/>
    </row>
    <row r="137" spans="9:9" x14ac:dyDescent="0.2">
      <c r="I137" s="328"/>
    </row>
    <row r="138" spans="9:9" x14ac:dyDescent="0.2">
      <c r="I138" s="328"/>
    </row>
    <row r="139" spans="9:9" x14ac:dyDescent="0.2">
      <c r="I139" s="328"/>
    </row>
    <row r="140" spans="9:9" x14ac:dyDescent="0.2">
      <c r="I140" s="328"/>
    </row>
    <row r="141" spans="9:9" x14ac:dyDescent="0.2">
      <c r="I141" s="328"/>
    </row>
    <row r="142" spans="9:9" x14ac:dyDescent="0.2">
      <c r="I142" s="328"/>
    </row>
    <row r="143" spans="9:9" x14ac:dyDescent="0.2">
      <c r="I143" s="328"/>
    </row>
    <row r="144" spans="9:9" x14ac:dyDescent="0.2">
      <c r="I144" s="328"/>
    </row>
    <row r="145" spans="9:9" x14ac:dyDescent="0.2">
      <c r="I145" s="328"/>
    </row>
    <row r="146" spans="9:9" x14ac:dyDescent="0.2">
      <c r="I146" s="328"/>
    </row>
    <row r="147" spans="9:9" x14ac:dyDescent="0.2">
      <c r="I147" s="328"/>
    </row>
    <row r="148" spans="9:9" x14ac:dyDescent="0.2">
      <c r="I148" s="328"/>
    </row>
    <row r="149" spans="9:9" x14ac:dyDescent="0.2">
      <c r="I149" s="328"/>
    </row>
    <row r="150" spans="9:9" x14ac:dyDescent="0.2">
      <c r="I150" s="328"/>
    </row>
    <row r="151" spans="9:9" x14ac:dyDescent="0.2">
      <c r="I151" s="328"/>
    </row>
    <row r="152" spans="9:9" x14ac:dyDescent="0.2">
      <c r="I152" s="328"/>
    </row>
    <row r="153" spans="9:9" x14ac:dyDescent="0.2">
      <c r="I153" s="328"/>
    </row>
    <row r="154" spans="9:9" x14ac:dyDescent="0.2">
      <c r="I154" s="328"/>
    </row>
    <row r="155" spans="9:9" x14ac:dyDescent="0.2">
      <c r="I155" s="328"/>
    </row>
    <row r="156" spans="9:9" x14ac:dyDescent="0.2">
      <c r="I156" s="328"/>
    </row>
    <row r="157" spans="9:9" x14ac:dyDescent="0.2">
      <c r="I157" s="328"/>
    </row>
    <row r="158" spans="9:9" x14ac:dyDescent="0.2">
      <c r="I158" s="328"/>
    </row>
    <row r="159" spans="9:9" x14ac:dyDescent="0.2">
      <c r="I159" s="328"/>
    </row>
    <row r="160" spans="9:9" x14ac:dyDescent="0.2">
      <c r="I160" s="328"/>
    </row>
    <row r="161" spans="9:9" x14ac:dyDescent="0.2">
      <c r="I161" s="328"/>
    </row>
    <row r="162" spans="9:9" x14ac:dyDescent="0.2">
      <c r="I162" s="328"/>
    </row>
    <row r="163" spans="9:9" x14ac:dyDescent="0.2">
      <c r="I163" s="328"/>
    </row>
    <row r="164" spans="9:9" x14ac:dyDescent="0.2">
      <c r="I164" s="328"/>
    </row>
    <row r="165" spans="9:9" x14ac:dyDescent="0.2">
      <c r="I165" s="328"/>
    </row>
    <row r="166" spans="9:9" x14ac:dyDescent="0.2">
      <c r="I166" s="328"/>
    </row>
    <row r="167" spans="9:9" x14ac:dyDescent="0.2">
      <c r="I167" s="328"/>
    </row>
    <row r="168" spans="9:9" x14ac:dyDescent="0.2">
      <c r="I168" s="328"/>
    </row>
    <row r="169" spans="9:9" x14ac:dyDescent="0.2">
      <c r="I169" s="328"/>
    </row>
    <row r="170" spans="9:9" x14ac:dyDescent="0.2">
      <c r="I170" s="328"/>
    </row>
    <row r="171" spans="9:9" x14ac:dyDescent="0.2">
      <c r="I171" s="328"/>
    </row>
    <row r="172" spans="9:9" x14ac:dyDescent="0.2">
      <c r="I172" s="328"/>
    </row>
    <row r="173" spans="9:9" x14ac:dyDescent="0.2">
      <c r="I173" s="328"/>
    </row>
    <row r="174" spans="9:9" x14ac:dyDescent="0.2">
      <c r="I174" s="328"/>
    </row>
    <row r="175" spans="9:9" x14ac:dyDescent="0.2">
      <c r="I175" s="328"/>
    </row>
    <row r="176" spans="9:9" x14ac:dyDescent="0.2">
      <c r="I176" s="328"/>
    </row>
    <row r="177" spans="9:9" x14ac:dyDescent="0.2">
      <c r="I177" s="328"/>
    </row>
    <row r="178" spans="9:9" x14ac:dyDescent="0.2">
      <c r="I178" s="328"/>
    </row>
    <row r="179" spans="9:9" x14ac:dyDescent="0.2">
      <c r="I179" s="328"/>
    </row>
    <row r="180" spans="9:9" x14ac:dyDescent="0.2">
      <c r="I180" s="328"/>
    </row>
    <row r="181" spans="9:9" x14ac:dyDescent="0.2">
      <c r="I181" s="328"/>
    </row>
    <row r="182" spans="9:9" x14ac:dyDescent="0.2">
      <c r="I182" s="328"/>
    </row>
    <row r="183" spans="9:9" x14ac:dyDescent="0.2">
      <c r="I183" s="328"/>
    </row>
    <row r="184" spans="9:9" x14ac:dyDescent="0.2">
      <c r="I184" s="328"/>
    </row>
    <row r="185" spans="9:9" x14ac:dyDescent="0.2">
      <c r="I185" s="328"/>
    </row>
    <row r="186" spans="9:9" x14ac:dyDescent="0.2">
      <c r="I186" s="328"/>
    </row>
    <row r="187" spans="9:9" x14ac:dyDescent="0.2">
      <c r="I187" s="328"/>
    </row>
    <row r="188" spans="9:9" x14ac:dyDescent="0.2">
      <c r="I188" s="328"/>
    </row>
    <row r="189" spans="9:9" x14ac:dyDescent="0.2">
      <c r="I189" s="328"/>
    </row>
    <row r="190" spans="9:9" x14ac:dyDescent="0.2">
      <c r="I190" s="328"/>
    </row>
    <row r="191" spans="9:9" x14ac:dyDescent="0.2">
      <c r="I191" s="328"/>
    </row>
    <row r="192" spans="9:9" x14ac:dyDescent="0.2">
      <c r="I192" s="328"/>
    </row>
    <row r="193" spans="9:9" x14ac:dyDescent="0.2">
      <c r="I193" s="328"/>
    </row>
    <row r="194" spans="9:9" x14ac:dyDescent="0.2">
      <c r="I194" s="328"/>
    </row>
    <row r="195" spans="9:9" x14ac:dyDescent="0.2">
      <c r="I195" s="328"/>
    </row>
    <row r="196" spans="9:9" x14ac:dyDescent="0.2">
      <c r="I196" s="328"/>
    </row>
  </sheetData>
  <mergeCells count="21">
    <mergeCell ref="A23:C23"/>
    <mergeCell ref="A24:I24"/>
    <mergeCell ref="A25:I25"/>
    <mergeCell ref="A17:B17"/>
    <mergeCell ref="A18:B18"/>
    <mergeCell ref="A19:B19"/>
    <mergeCell ref="A20:B20"/>
    <mergeCell ref="A21:B21"/>
    <mergeCell ref="A22:B22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0866141732283472" right="0.70866141732283472" top="0.78740157480314965" bottom="0.78740157480314965" header="0.31496062992125984" footer="0.31496062992125984"/>
  <pageSetup paperSize="9" scale="70" firstPageNumber="10" orientation="portrait" useFirstPageNumber="1" r:id="rId1"/>
  <headerFooter>
    <oddFooter>&amp;L&amp;"-,Kurzíva"Zastupitelstvo Olomouckého kraje 21-12-2020
11. - Rozpočet Olomouckého kraje 2021 - návrh rozpočtu
Příloha č. 1: Návrh rozpočtu OK na rok 2021 (bilance) - zkrácená verze&amp;R&amp;"-,Kurzíva"Strana &amp;P (Celkem 150)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26"/>
  <sheetViews>
    <sheetView view="pageBreakPreview" topLeftCell="A112" zoomScale="130" zoomScaleNormal="100" zoomScaleSheetLayoutView="130" workbookViewId="0">
      <selection activeCell="K116" sqref="K116"/>
    </sheetView>
  </sheetViews>
  <sheetFormatPr defaultColWidth="9.140625" defaultRowHeight="14.25" x14ac:dyDescent="0.2"/>
  <cols>
    <col min="1" max="1" width="18" style="376" customWidth="1"/>
    <col min="2" max="2" width="66.5703125" style="376" customWidth="1"/>
    <col min="3" max="4" width="6.7109375" style="376" customWidth="1"/>
    <col min="5" max="5" width="15.7109375" style="376" customWidth="1"/>
    <col min="6" max="6" width="15.7109375" style="585" customWidth="1"/>
    <col min="7" max="7" width="15.7109375" style="587" customWidth="1"/>
    <col min="8" max="8" width="10.28515625" style="586" customWidth="1"/>
    <col min="9" max="16384" width="9.140625" style="376"/>
  </cols>
  <sheetData>
    <row r="1" spans="1:11" ht="20.25" x14ac:dyDescent="0.3">
      <c r="A1" s="372" t="s">
        <v>301</v>
      </c>
      <c r="B1" s="70"/>
      <c r="C1" s="70"/>
      <c r="D1" s="70"/>
      <c r="E1" s="70"/>
      <c r="F1" s="373"/>
      <c r="G1" s="374"/>
      <c r="H1" s="375"/>
    </row>
    <row r="2" spans="1:11" ht="15.75" x14ac:dyDescent="0.25">
      <c r="A2" s="377" t="s">
        <v>302</v>
      </c>
      <c r="B2" s="70"/>
      <c r="C2" s="70"/>
      <c r="D2" s="70"/>
      <c r="E2" s="70"/>
      <c r="F2" s="373"/>
      <c r="G2" s="374"/>
      <c r="H2" s="375"/>
    </row>
    <row r="3" spans="1:11" ht="15.75" customHeight="1" thickBot="1" x14ac:dyDescent="0.25">
      <c r="A3" s="70"/>
      <c r="B3" s="70"/>
      <c r="C3" s="70"/>
      <c r="D3" s="70"/>
      <c r="E3" s="70"/>
      <c r="F3" s="373"/>
      <c r="G3" s="374"/>
      <c r="H3" s="378" t="s">
        <v>126</v>
      </c>
    </row>
    <row r="4" spans="1:11" s="328" customFormat="1" ht="41.25" customHeight="1" thickTop="1" thickBot="1" x14ac:dyDescent="0.25">
      <c r="A4" s="379" t="s">
        <v>189</v>
      </c>
      <c r="B4" s="380"/>
      <c r="C4" s="381" t="s">
        <v>190</v>
      </c>
      <c r="D4" s="381" t="s">
        <v>174</v>
      </c>
      <c r="E4" s="336" t="s">
        <v>108</v>
      </c>
      <c r="F4" s="336" t="s">
        <v>130</v>
      </c>
      <c r="G4" s="336" t="s">
        <v>131</v>
      </c>
      <c r="H4" s="382" t="s">
        <v>2</v>
      </c>
    </row>
    <row r="5" spans="1:11" s="386" customFormat="1" ht="15" customHeight="1" thickTop="1" thickBot="1" x14ac:dyDescent="0.25">
      <c r="A5" s="1057">
        <v>1</v>
      </c>
      <c r="B5" s="1058"/>
      <c r="C5" s="383">
        <v>2</v>
      </c>
      <c r="D5" s="383">
        <v>3</v>
      </c>
      <c r="E5" s="384">
        <v>4</v>
      </c>
      <c r="F5" s="384">
        <v>5</v>
      </c>
      <c r="G5" s="384">
        <v>6</v>
      </c>
      <c r="H5" s="385" t="s">
        <v>132</v>
      </c>
    </row>
    <row r="6" spans="1:11" s="393" customFormat="1" ht="15.75" thickBot="1" x14ac:dyDescent="0.3">
      <c r="A6" s="387" t="s">
        <v>57</v>
      </c>
      <c r="B6" s="388"/>
      <c r="C6" s="389"/>
      <c r="D6" s="390">
        <v>8</v>
      </c>
      <c r="E6" s="390">
        <f t="shared" ref="E6:F6" si="0">SUM(E7,E10,E13)</f>
        <v>63800</v>
      </c>
      <c r="F6" s="390">
        <f t="shared" si="0"/>
        <v>78799</v>
      </c>
      <c r="G6" s="390">
        <f>SUM(G7,G10,G13)</f>
        <v>41325</v>
      </c>
      <c r="H6" s="391">
        <f t="shared" ref="H6:H43" si="1">G6/E6*100</f>
        <v>64.772727272727266</v>
      </c>
      <c r="I6" s="392"/>
      <c r="J6" s="392"/>
      <c r="K6" s="392"/>
    </row>
    <row r="7" spans="1:11" s="401" customFormat="1" x14ac:dyDescent="0.2">
      <c r="A7" s="394" t="s">
        <v>191</v>
      </c>
      <c r="B7" s="395" t="s">
        <v>192</v>
      </c>
      <c r="C7" s="396"/>
      <c r="D7" s="397"/>
      <c r="E7" s="398">
        <f>SUM(E8:E9)</f>
        <v>1000</v>
      </c>
      <c r="F7" s="398">
        <f t="shared" ref="F7" si="2">SUM(F8:F9)</f>
        <v>1000</v>
      </c>
      <c r="G7" s="398">
        <f>SUM(G8:G9)</f>
        <v>675</v>
      </c>
      <c r="H7" s="399">
        <f>G7/E7*100</f>
        <v>67.5</v>
      </c>
      <c r="I7" s="400"/>
      <c r="J7" s="400"/>
      <c r="K7" s="400"/>
    </row>
    <row r="8" spans="1:11" s="401" customFormat="1" x14ac:dyDescent="0.2">
      <c r="A8" s="402" t="s">
        <v>193</v>
      </c>
      <c r="B8" s="403" t="s">
        <v>194</v>
      </c>
      <c r="C8" s="404">
        <v>435</v>
      </c>
      <c r="D8" s="405"/>
      <c r="E8" s="406">
        <v>300</v>
      </c>
      <c r="F8" s="406">
        <v>300</v>
      </c>
      <c r="G8" s="406">
        <f>SUM('[8]08'!G23:H23)</f>
        <v>75</v>
      </c>
      <c r="H8" s="407">
        <f t="shared" si="1"/>
        <v>25</v>
      </c>
      <c r="I8" s="400"/>
      <c r="J8" s="400"/>
      <c r="K8" s="400"/>
    </row>
    <row r="9" spans="1:11" s="401" customFormat="1" x14ac:dyDescent="0.2">
      <c r="A9" s="408"/>
      <c r="B9" s="409" t="s">
        <v>195</v>
      </c>
      <c r="C9" s="404">
        <v>436</v>
      </c>
      <c r="D9" s="405"/>
      <c r="E9" s="406">
        <v>700</v>
      </c>
      <c r="F9" s="406">
        <v>700</v>
      </c>
      <c r="G9" s="406">
        <f>SUM('[8]08'!G20:H20)</f>
        <v>600</v>
      </c>
      <c r="H9" s="407">
        <f t="shared" si="1"/>
        <v>85.714285714285708</v>
      </c>
      <c r="I9" s="400"/>
      <c r="J9" s="400"/>
      <c r="K9" s="400"/>
    </row>
    <row r="10" spans="1:11" s="401" customFormat="1" x14ac:dyDescent="0.2">
      <c r="A10" s="410" t="s">
        <v>191</v>
      </c>
      <c r="B10" s="395" t="s">
        <v>196</v>
      </c>
      <c r="C10" s="396"/>
      <c r="D10" s="397"/>
      <c r="E10" s="398">
        <f>SUM(E11:E12)</f>
        <v>800</v>
      </c>
      <c r="F10" s="398">
        <f t="shared" ref="F10" si="3">SUM(F11:F12)</f>
        <v>605</v>
      </c>
      <c r="G10" s="398">
        <f>SUM(G11:G12)</f>
        <v>650</v>
      </c>
      <c r="H10" s="399">
        <f t="shared" si="1"/>
        <v>81.25</v>
      </c>
      <c r="I10" s="400"/>
      <c r="J10" s="400"/>
      <c r="K10" s="400"/>
    </row>
    <row r="11" spans="1:11" s="401" customFormat="1" x14ac:dyDescent="0.2">
      <c r="A11" s="402" t="s">
        <v>193</v>
      </c>
      <c r="B11" s="66" t="s">
        <v>197</v>
      </c>
      <c r="C11" s="404">
        <v>430</v>
      </c>
      <c r="D11" s="405"/>
      <c r="E11" s="406">
        <v>400</v>
      </c>
      <c r="F11" s="406">
        <v>285</v>
      </c>
      <c r="G11" s="406">
        <f>SUM('[8]08'!G32:H32)</f>
        <v>300</v>
      </c>
      <c r="H11" s="407">
        <f>G11/E11*100</f>
        <v>75</v>
      </c>
      <c r="I11" s="400"/>
      <c r="J11" s="400"/>
      <c r="K11" s="400"/>
    </row>
    <row r="12" spans="1:11" s="401" customFormat="1" x14ac:dyDescent="0.2">
      <c r="A12" s="408"/>
      <c r="B12" s="411" t="s">
        <v>198</v>
      </c>
      <c r="C12" s="412">
        <v>431</v>
      </c>
      <c r="D12" s="413"/>
      <c r="E12" s="414">
        <v>400</v>
      </c>
      <c r="F12" s="414">
        <v>320</v>
      </c>
      <c r="G12" s="414">
        <f>SUM('[8]08'!G29:H29)</f>
        <v>350</v>
      </c>
      <c r="H12" s="415">
        <f t="shared" si="1"/>
        <v>87.5</v>
      </c>
      <c r="I12" s="400"/>
      <c r="J12" s="400"/>
      <c r="K12" s="400"/>
    </row>
    <row r="13" spans="1:11" s="401" customFormat="1" x14ac:dyDescent="0.2">
      <c r="A13" s="394" t="s">
        <v>191</v>
      </c>
      <c r="B13" s="416" t="s">
        <v>199</v>
      </c>
      <c r="C13" s="396"/>
      <c r="D13" s="397"/>
      <c r="E13" s="398">
        <f>SUM(E14:E18)</f>
        <v>62000</v>
      </c>
      <c r="F13" s="398">
        <f>SUM(F14:F18)</f>
        <v>77194</v>
      </c>
      <c r="G13" s="398">
        <f>SUM(G14:G18)</f>
        <v>40000</v>
      </c>
      <c r="H13" s="399">
        <f t="shared" si="1"/>
        <v>64.516129032258064</v>
      </c>
      <c r="I13" s="400"/>
      <c r="J13" s="400"/>
      <c r="K13" s="400"/>
    </row>
    <row r="14" spans="1:11" s="401" customFormat="1" x14ac:dyDescent="0.2">
      <c r="A14" s="402" t="s">
        <v>193</v>
      </c>
      <c r="B14" s="417" t="s">
        <v>200</v>
      </c>
      <c r="C14" s="404">
        <v>441</v>
      </c>
      <c r="D14" s="405"/>
      <c r="E14" s="406">
        <v>1000</v>
      </c>
      <c r="F14" s="406">
        <v>1950</v>
      </c>
      <c r="G14" s="406">
        <f>SUM('[8]08'!G44:H44)</f>
        <v>1000</v>
      </c>
      <c r="H14" s="407">
        <f t="shared" si="1"/>
        <v>100</v>
      </c>
      <c r="I14" s="400"/>
      <c r="J14" s="400"/>
      <c r="K14" s="400"/>
    </row>
    <row r="15" spans="1:11" s="401" customFormat="1" x14ac:dyDescent="0.2">
      <c r="A15" s="418"/>
      <c r="B15" s="417" t="s">
        <v>201</v>
      </c>
      <c r="C15" s="404">
        <v>443</v>
      </c>
      <c r="D15" s="405"/>
      <c r="E15" s="406">
        <v>40000</v>
      </c>
      <c r="F15" s="406">
        <v>53324</v>
      </c>
      <c r="G15" s="406">
        <f>SUM('[8]08'!G38:H38)</f>
        <v>33000</v>
      </c>
      <c r="H15" s="407">
        <f t="shared" si="1"/>
        <v>82.5</v>
      </c>
      <c r="I15" s="400"/>
      <c r="J15" s="400"/>
      <c r="K15" s="400"/>
    </row>
    <row r="16" spans="1:11" s="401" customFormat="1" x14ac:dyDescent="0.2">
      <c r="A16" s="418"/>
      <c r="B16" s="417" t="s">
        <v>202</v>
      </c>
      <c r="C16" s="404">
        <v>444</v>
      </c>
      <c r="D16" s="405"/>
      <c r="E16" s="406">
        <v>4000</v>
      </c>
      <c r="F16" s="406">
        <v>4000</v>
      </c>
      <c r="G16" s="406">
        <f>SUM('[8]08'!G39:H39)</f>
        <v>3000</v>
      </c>
      <c r="H16" s="407">
        <f t="shared" si="1"/>
        <v>75</v>
      </c>
      <c r="I16" s="400"/>
      <c r="J16" s="400"/>
      <c r="K16" s="400"/>
    </row>
    <row r="17" spans="1:14" s="401" customFormat="1" x14ac:dyDescent="0.2">
      <c r="A17" s="418"/>
      <c r="B17" s="417" t="s">
        <v>203</v>
      </c>
      <c r="C17" s="404">
        <v>645</v>
      </c>
      <c r="D17" s="405"/>
      <c r="E17" s="406">
        <v>10000</v>
      </c>
      <c r="F17" s="406">
        <v>15000</v>
      </c>
      <c r="G17" s="406"/>
      <c r="H17" s="407">
        <f t="shared" si="1"/>
        <v>0</v>
      </c>
      <c r="I17" s="400"/>
      <c r="J17" s="400"/>
      <c r="K17" s="400"/>
    </row>
    <row r="18" spans="1:14" s="401" customFormat="1" ht="15" thickBot="1" x14ac:dyDescent="0.25">
      <c r="A18" s="418"/>
      <c r="B18" s="417" t="s">
        <v>204</v>
      </c>
      <c r="C18" s="404">
        <v>646</v>
      </c>
      <c r="D18" s="405"/>
      <c r="E18" s="406">
        <v>7000</v>
      </c>
      <c r="F18" s="406">
        <v>2920</v>
      </c>
      <c r="G18" s="406">
        <f>SUM('[8]08'!G40:H40)</f>
        <v>3000</v>
      </c>
      <c r="H18" s="407">
        <f t="shared" si="1"/>
        <v>42.857142857142854</v>
      </c>
      <c r="I18" s="400"/>
      <c r="J18" s="400"/>
      <c r="K18" s="400"/>
    </row>
    <row r="19" spans="1:14" s="344" customFormat="1" ht="18" customHeight="1" thickBot="1" x14ac:dyDescent="0.3">
      <c r="A19" s="387" t="s">
        <v>181</v>
      </c>
      <c r="B19" s="388"/>
      <c r="C19" s="389"/>
      <c r="D19" s="390">
        <v>9</v>
      </c>
      <c r="E19" s="390">
        <f>SUM(E20,E21,E24,E27)</f>
        <v>19000</v>
      </c>
      <c r="F19" s="390">
        <f t="shared" ref="F19" si="4">SUM(F20,F21,F24,F27)</f>
        <v>14500</v>
      </c>
      <c r="G19" s="390">
        <f>SUM(G20,G21,G24,G27)</f>
        <v>13988</v>
      </c>
      <c r="H19" s="391">
        <f t="shared" si="1"/>
        <v>73.621052631578948</v>
      </c>
      <c r="I19" s="348"/>
      <c r="J19" s="348"/>
      <c r="K19" s="348"/>
      <c r="L19" s="348"/>
      <c r="M19" s="348"/>
      <c r="N19" s="348"/>
    </row>
    <row r="20" spans="1:14" x14ac:dyDescent="0.2">
      <c r="A20" s="419" t="s">
        <v>191</v>
      </c>
      <c r="B20" s="420" t="s">
        <v>205</v>
      </c>
      <c r="C20" s="421">
        <v>450</v>
      </c>
      <c r="D20" s="422"/>
      <c r="E20" s="423">
        <v>10000</v>
      </c>
      <c r="F20" s="423">
        <v>5500</v>
      </c>
      <c r="G20" s="423">
        <f>SUM('[8]09'!G22:H22)</f>
        <v>8000</v>
      </c>
      <c r="H20" s="424">
        <f t="shared" si="1"/>
        <v>80</v>
      </c>
      <c r="I20" s="425"/>
      <c r="J20" s="425"/>
      <c r="K20" s="425"/>
    </row>
    <row r="21" spans="1:14" ht="27" customHeight="1" x14ac:dyDescent="0.2">
      <c r="A21" s="426" t="s">
        <v>191</v>
      </c>
      <c r="B21" s="427" t="s">
        <v>206</v>
      </c>
      <c r="C21" s="428"/>
      <c r="D21" s="429"/>
      <c r="E21" s="398">
        <f>SUM(E22:E23)</f>
        <v>1000</v>
      </c>
      <c r="F21" s="398">
        <f t="shared" ref="F21:G21" si="5">SUM(F22:F23)</f>
        <v>1000</v>
      </c>
      <c r="G21" s="430">
        <f t="shared" si="5"/>
        <v>738</v>
      </c>
      <c r="H21" s="399">
        <f t="shared" si="1"/>
        <v>73.8</v>
      </c>
      <c r="I21" s="425"/>
      <c r="J21" s="425"/>
      <c r="K21" s="425"/>
    </row>
    <row r="22" spans="1:14" s="432" customFormat="1" ht="12.75" x14ac:dyDescent="0.2">
      <c r="A22" s="418"/>
      <c r="B22" s="431" t="s">
        <v>207</v>
      </c>
      <c r="C22" s="417">
        <v>455</v>
      </c>
      <c r="D22" s="417"/>
      <c r="E22" s="406">
        <v>500</v>
      </c>
      <c r="F22" s="406">
        <v>500</v>
      </c>
      <c r="G22" s="406">
        <f>SUM('[8]09'!G29:H29)</f>
        <v>300</v>
      </c>
      <c r="H22" s="407">
        <f t="shared" si="1"/>
        <v>60</v>
      </c>
    </row>
    <row r="23" spans="1:14" s="432" customFormat="1" ht="12.75" x14ac:dyDescent="0.2">
      <c r="A23" s="418"/>
      <c r="B23" s="431" t="s">
        <v>208</v>
      </c>
      <c r="C23" s="417">
        <v>456</v>
      </c>
      <c r="D23" s="417"/>
      <c r="E23" s="406">
        <v>500</v>
      </c>
      <c r="F23" s="406">
        <v>500</v>
      </c>
      <c r="G23" s="406">
        <f>SUM('[8]09'!G30:H30)</f>
        <v>438</v>
      </c>
      <c r="H23" s="407">
        <f t="shared" si="1"/>
        <v>87.6</v>
      </c>
    </row>
    <row r="24" spans="1:14" ht="45" customHeight="1" x14ac:dyDescent="0.2">
      <c r="A24" s="426" t="s">
        <v>191</v>
      </c>
      <c r="B24" s="433" t="s">
        <v>209</v>
      </c>
      <c r="C24" s="396"/>
      <c r="D24" s="434"/>
      <c r="E24" s="398">
        <f>SUM(E25:E26)</f>
        <v>3000</v>
      </c>
      <c r="F24" s="398">
        <f t="shared" ref="F24" si="6">SUM(F25:F26)</f>
        <v>3000</v>
      </c>
      <c r="G24" s="398">
        <f>SUM(G25:G26)</f>
        <v>3000</v>
      </c>
      <c r="H24" s="399">
        <f t="shared" si="1"/>
        <v>100</v>
      </c>
    </row>
    <row r="25" spans="1:14" s="432" customFormat="1" ht="28.5" customHeight="1" x14ac:dyDescent="0.2">
      <c r="A25" s="402" t="s">
        <v>193</v>
      </c>
      <c r="B25" s="431" t="s">
        <v>210</v>
      </c>
      <c r="C25" s="404">
        <v>460</v>
      </c>
      <c r="D25" s="417"/>
      <c r="E25" s="406">
        <v>2500</v>
      </c>
      <c r="F25" s="406">
        <v>3000</v>
      </c>
      <c r="G25" s="406">
        <f>SUM('[8]09'!G37:H37)</f>
        <v>2500</v>
      </c>
      <c r="H25" s="407">
        <f t="shared" si="1"/>
        <v>100</v>
      </c>
    </row>
    <row r="26" spans="1:14" s="432" customFormat="1" ht="30" customHeight="1" x14ac:dyDescent="0.2">
      <c r="A26" s="408"/>
      <c r="B26" s="435" t="s">
        <v>211</v>
      </c>
      <c r="C26" s="412">
        <v>461</v>
      </c>
      <c r="D26" s="436"/>
      <c r="E26" s="414">
        <v>500</v>
      </c>
      <c r="F26" s="414">
        <v>0</v>
      </c>
      <c r="G26" s="414">
        <f>SUM('[8]09'!G39:H39)</f>
        <v>500</v>
      </c>
      <c r="H26" s="415">
        <f t="shared" si="1"/>
        <v>100</v>
      </c>
    </row>
    <row r="27" spans="1:14" ht="30.75" customHeight="1" x14ac:dyDescent="0.2">
      <c r="A27" s="426" t="s">
        <v>191</v>
      </c>
      <c r="B27" s="433" t="s">
        <v>212</v>
      </c>
      <c r="C27" s="396"/>
      <c r="D27" s="434"/>
      <c r="E27" s="398">
        <f>SUM(E28:E29)</f>
        <v>5000</v>
      </c>
      <c r="F27" s="398">
        <f>SUM(F28:F29)</f>
        <v>5000</v>
      </c>
      <c r="G27" s="398">
        <f>SUM(G28:G29)</f>
        <v>2250</v>
      </c>
      <c r="H27" s="399">
        <f t="shared" si="1"/>
        <v>45</v>
      </c>
    </row>
    <row r="28" spans="1:14" s="432" customFormat="1" ht="15" customHeight="1" x14ac:dyDescent="0.2">
      <c r="A28" s="402"/>
      <c r="B28" s="431" t="s">
        <v>213</v>
      </c>
      <c r="C28" s="404">
        <v>467</v>
      </c>
      <c r="D28" s="417"/>
      <c r="E28" s="406">
        <v>300</v>
      </c>
      <c r="F28" s="406">
        <v>102</v>
      </c>
      <c r="G28" s="406">
        <f>SUM('[8]09'!G46:H46)</f>
        <v>250</v>
      </c>
      <c r="H28" s="407">
        <f t="shared" si="1"/>
        <v>83.333333333333343</v>
      </c>
    </row>
    <row r="29" spans="1:14" s="432" customFormat="1" ht="40.5" customHeight="1" thickBot="1" x14ac:dyDescent="0.25">
      <c r="A29" s="437"/>
      <c r="B29" s="438" t="s">
        <v>214</v>
      </c>
      <c r="C29" s="438">
        <v>469</v>
      </c>
      <c r="D29" s="439"/>
      <c r="E29" s="440">
        <v>4700</v>
      </c>
      <c r="F29" s="440">
        <v>4898</v>
      </c>
      <c r="G29" s="440">
        <f>SUM('[8]09'!G47:H47)</f>
        <v>2000</v>
      </c>
      <c r="H29" s="441">
        <f t="shared" si="1"/>
        <v>42.553191489361701</v>
      </c>
    </row>
    <row r="30" spans="1:14" s="344" customFormat="1" ht="18" customHeight="1" thickBot="1" x14ac:dyDescent="0.3">
      <c r="A30" s="442" t="s">
        <v>85</v>
      </c>
      <c r="B30" s="443"/>
      <c r="C30" s="444"/>
      <c r="D30" s="445">
        <v>10</v>
      </c>
      <c r="E30" s="445">
        <f>SUM(E31,E32,E33,E34)</f>
        <v>28580</v>
      </c>
      <c r="F30" s="445">
        <f t="shared" ref="F30" si="7">SUM(F31,F32,F33,F34)</f>
        <v>28332</v>
      </c>
      <c r="G30" s="445">
        <f>SUM(G31,G32,G33,G34)</f>
        <v>20480</v>
      </c>
      <c r="H30" s="446">
        <f t="shared" si="1"/>
        <v>71.658502449265214</v>
      </c>
      <c r="I30" s="348"/>
      <c r="J30" s="348"/>
      <c r="K30" s="348"/>
      <c r="L30" s="348"/>
      <c r="M30" s="348"/>
      <c r="N30" s="348"/>
    </row>
    <row r="31" spans="1:14" ht="29.25" customHeight="1" x14ac:dyDescent="0.2">
      <c r="A31" s="447" t="s">
        <v>191</v>
      </c>
      <c r="B31" s="448" t="s">
        <v>215</v>
      </c>
      <c r="C31" s="449">
        <v>495</v>
      </c>
      <c r="D31" s="450"/>
      <c r="E31" s="423">
        <v>600</v>
      </c>
      <c r="F31" s="423">
        <v>352</v>
      </c>
      <c r="G31" s="423">
        <f>SUM('[8]10'!G17:H17)</f>
        <v>500</v>
      </c>
      <c r="H31" s="424">
        <f t="shared" si="1"/>
        <v>83.333333333333343</v>
      </c>
    </row>
    <row r="32" spans="1:14" s="393" customFormat="1" ht="28.5" customHeight="1" x14ac:dyDescent="0.2">
      <c r="A32" s="451" t="s">
        <v>191</v>
      </c>
      <c r="B32" s="452" t="s">
        <v>216</v>
      </c>
      <c r="C32" s="453">
        <v>520</v>
      </c>
      <c r="D32" s="454"/>
      <c r="E32" s="455">
        <v>600</v>
      </c>
      <c r="F32" s="455">
        <v>600</v>
      </c>
      <c r="G32" s="455">
        <f>SUM('[8]10'!G24:H24)</f>
        <v>600</v>
      </c>
      <c r="H32" s="456">
        <f t="shared" si="1"/>
        <v>100</v>
      </c>
      <c r="I32" s="392"/>
      <c r="J32" s="392"/>
      <c r="K32" s="392"/>
    </row>
    <row r="33" spans="1:14" ht="29.25" customHeight="1" x14ac:dyDescent="0.2">
      <c r="A33" s="451" t="s">
        <v>191</v>
      </c>
      <c r="B33" s="457" t="s">
        <v>217</v>
      </c>
      <c r="C33" s="453">
        <v>510</v>
      </c>
      <c r="D33" s="454"/>
      <c r="E33" s="455">
        <v>880</v>
      </c>
      <c r="F33" s="455">
        <v>880</v>
      </c>
      <c r="G33" s="455">
        <f>SUM('[8]10'!G30:H30)</f>
        <v>880</v>
      </c>
      <c r="H33" s="456">
        <f t="shared" si="1"/>
        <v>100</v>
      </c>
    </row>
    <row r="34" spans="1:14" ht="29.25" customHeight="1" x14ac:dyDescent="0.2">
      <c r="A34" s="426" t="s">
        <v>191</v>
      </c>
      <c r="B34" s="458" t="s">
        <v>218</v>
      </c>
      <c r="C34" s="459"/>
      <c r="D34" s="434"/>
      <c r="E34" s="398">
        <f>SUM(E35:E37)</f>
        <v>26500</v>
      </c>
      <c r="F34" s="398">
        <f t="shared" ref="F34" si="8">SUM(F35:F37)</f>
        <v>26500</v>
      </c>
      <c r="G34" s="398">
        <f>SUM('[8]10'!G36:H36)</f>
        <v>18500</v>
      </c>
      <c r="H34" s="399">
        <f t="shared" si="1"/>
        <v>69.811320754716974</v>
      </c>
      <c r="I34" s="393"/>
    </row>
    <row r="35" spans="1:14" s="432" customFormat="1" ht="27" customHeight="1" x14ac:dyDescent="0.2">
      <c r="A35" s="402" t="s">
        <v>193</v>
      </c>
      <c r="B35" s="404" t="s">
        <v>219</v>
      </c>
      <c r="C35" s="404">
        <v>480</v>
      </c>
      <c r="D35" s="417"/>
      <c r="E35" s="406">
        <v>9500</v>
      </c>
      <c r="F35" s="406">
        <v>9500</v>
      </c>
      <c r="G35" s="406"/>
      <c r="H35" s="407">
        <f t="shared" si="1"/>
        <v>0</v>
      </c>
    </row>
    <row r="36" spans="1:14" s="432" customFormat="1" ht="26.25" customHeight="1" x14ac:dyDescent="0.2">
      <c r="A36" s="418"/>
      <c r="B36" s="404" t="s">
        <v>220</v>
      </c>
      <c r="C36" s="404">
        <v>481</v>
      </c>
      <c r="D36" s="417"/>
      <c r="E36" s="406">
        <v>12000</v>
      </c>
      <c r="F36" s="406">
        <v>12000</v>
      </c>
      <c r="G36" s="406"/>
      <c r="H36" s="407">
        <f t="shared" si="1"/>
        <v>0</v>
      </c>
    </row>
    <row r="37" spans="1:14" s="432" customFormat="1" ht="30" customHeight="1" thickBot="1" x14ac:dyDescent="0.25">
      <c r="A37" s="418"/>
      <c r="B37" s="404" t="s">
        <v>221</v>
      </c>
      <c r="C37" s="404">
        <v>482</v>
      </c>
      <c r="D37" s="417"/>
      <c r="E37" s="406">
        <v>5000</v>
      </c>
      <c r="F37" s="406">
        <v>5000</v>
      </c>
      <c r="G37" s="406"/>
      <c r="H37" s="407">
        <f t="shared" si="1"/>
        <v>0</v>
      </c>
    </row>
    <row r="38" spans="1:14" s="344" customFormat="1" ht="18" customHeight="1" thickBot="1" x14ac:dyDescent="0.3">
      <c r="A38" s="387" t="s">
        <v>182</v>
      </c>
      <c r="B38" s="388"/>
      <c r="C38" s="389"/>
      <c r="D38" s="390">
        <v>11</v>
      </c>
      <c r="E38" s="390">
        <f>SUM(E39,E46)</f>
        <v>66150</v>
      </c>
      <c r="F38" s="390">
        <f>SUM(F39,F46)</f>
        <v>70861</v>
      </c>
      <c r="G38" s="390">
        <f>SUM(G39,G46)</f>
        <v>51063</v>
      </c>
      <c r="H38" s="391">
        <f t="shared" si="1"/>
        <v>77.192743764172334</v>
      </c>
      <c r="I38" s="348"/>
      <c r="J38" s="348"/>
      <c r="K38" s="348"/>
      <c r="L38" s="348"/>
      <c r="M38" s="348"/>
      <c r="N38" s="348"/>
    </row>
    <row r="39" spans="1:14" ht="15" customHeight="1" x14ac:dyDescent="0.2">
      <c r="A39" s="394" t="s">
        <v>191</v>
      </c>
      <c r="B39" s="395" t="s">
        <v>222</v>
      </c>
      <c r="C39" s="396"/>
      <c r="D39" s="434"/>
      <c r="E39" s="398">
        <f>SUM(E40:E45)</f>
        <v>26150</v>
      </c>
      <c r="F39" s="398">
        <f>SUM(F40:F45)</f>
        <v>26059</v>
      </c>
      <c r="G39" s="398">
        <f>SUM(G40:G45)</f>
        <v>11063</v>
      </c>
      <c r="H39" s="399">
        <f t="shared" si="1"/>
        <v>42.305927342256219</v>
      </c>
    </row>
    <row r="40" spans="1:14" s="432" customFormat="1" ht="15" customHeight="1" x14ac:dyDescent="0.2">
      <c r="A40" s="402" t="s">
        <v>193</v>
      </c>
      <c r="B40" s="66" t="s">
        <v>223</v>
      </c>
      <c r="C40" s="404">
        <v>525</v>
      </c>
      <c r="D40" s="417"/>
      <c r="E40" s="406">
        <v>2000</v>
      </c>
      <c r="F40" s="406">
        <v>2000</v>
      </c>
      <c r="G40" s="406">
        <f>SUM('[8]11'!G25:H25)</f>
        <v>1500</v>
      </c>
      <c r="H40" s="407">
        <f t="shared" si="1"/>
        <v>75</v>
      </c>
    </row>
    <row r="41" spans="1:14" s="432" customFormat="1" ht="15" customHeight="1" x14ac:dyDescent="0.2">
      <c r="A41" s="418"/>
      <c r="B41" s="66" t="s">
        <v>224</v>
      </c>
      <c r="C41" s="404">
        <v>526</v>
      </c>
      <c r="D41" s="417"/>
      <c r="E41" s="406">
        <v>150</v>
      </c>
      <c r="F41" s="406">
        <v>115</v>
      </c>
      <c r="G41" s="406">
        <f>SUM('[8]11'!G26:H26)</f>
        <v>113</v>
      </c>
      <c r="H41" s="407">
        <f t="shared" si="1"/>
        <v>75.333333333333329</v>
      </c>
    </row>
    <row r="42" spans="1:14" s="432" customFormat="1" ht="15" customHeight="1" x14ac:dyDescent="0.2">
      <c r="A42" s="418"/>
      <c r="B42" s="66" t="s">
        <v>225</v>
      </c>
      <c r="C42" s="404">
        <v>527</v>
      </c>
      <c r="D42" s="417"/>
      <c r="E42" s="406">
        <v>4000</v>
      </c>
      <c r="F42" s="406">
        <v>3979</v>
      </c>
      <c r="G42" s="406">
        <f>SUM('[8]11'!G27:H27)</f>
        <v>1500</v>
      </c>
      <c r="H42" s="407">
        <f t="shared" si="1"/>
        <v>37.5</v>
      </c>
    </row>
    <row r="43" spans="1:14" s="432" customFormat="1" ht="15" customHeight="1" x14ac:dyDescent="0.2">
      <c r="A43" s="418"/>
      <c r="B43" s="66" t="s">
        <v>226</v>
      </c>
      <c r="C43" s="404">
        <v>528</v>
      </c>
      <c r="D43" s="417"/>
      <c r="E43" s="406">
        <v>5000</v>
      </c>
      <c r="F43" s="406">
        <v>4965</v>
      </c>
      <c r="G43" s="406">
        <f>SUM('[8]11'!G28:H28)</f>
        <v>2250</v>
      </c>
      <c r="H43" s="407">
        <f t="shared" si="1"/>
        <v>45</v>
      </c>
    </row>
    <row r="44" spans="1:14" s="432" customFormat="1" ht="15.75" customHeight="1" x14ac:dyDescent="0.2">
      <c r="A44" s="418"/>
      <c r="B44" s="431" t="s">
        <v>227</v>
      </c>
      <c r="C44" s="404">
        <v>529</v>
      </c>
      <c r="D44" s="417"/>
      <c r="E44" s="406">
        <v>15000</v>
      </c>
      <c r="F44" s="406">
        <v>5128</v>
      </c>
      <c r="G44" s="406"/>
      <c r="H44" s="407"/>
    </row>
    <row r="45" spans="1:14" s="432" customFormat="1" ht="29.25" customHeight="1" x14ac:dyDescent="0.2">
      <c r="A45" s="418"/>
      <c r="B45" s="431" t="s">
        <v>228</v>
      </c>
      <c r="C45" s="404">
        <v>680</v>
      </c>
      <c r="D45" s="417"/>
      <c r="E45" s="406"/>
      <c r="F45" s="406">
        <v>9872</v>
      </c>
      <c r="G45" s="406">
        <f>SUM('[8]11'!G29:H29)</f>
        <v>5700</v>
      </c>
      <c r="H45" s="407"/>
    </row>
    <row r="46" spans="1:14" ht="29.25" thickBot="1" x14ac:dyDescent="0.25">
      <c r="A46" s="460" t="s">
        <v>191</v>
      </c>
      <c r="B46" s="461" t="s">
        <v>229</v>
      </c>
      <c r="C46" s="462">
        <v>530</v>
      </c>
      <c r="D46" s="463"/>
      <c r="E46" s="464">
        <v>40000</v>
      </c>
      <c r="F46" s="464">
        <v>44802</v>
      </c>
      <c r="G46" s="464">
        <f>SUM('[8]11'!G44:H44)</f>
        <v>40000</v>
      </c>
      <c r="H46" s="456">
        <f t="shared" ref="H46:H65" si="9">G46/E46*100</f>
        <v>100</v>
      </c>
      <c r="I46" s="425"/>
      <c r="J46" s="425"/>
      <c r="K46" s="425"/>
    </row>
    <row r="47" spans="1:14" s="344" customFormat="1" ht="18" customHeight="1" thickBot="1" x14ac:dyDescent="0.3">
      <c r="A47" s="387" t="s">
        <v>183</v>
      </c>
      <c r="B47" s="388"/>
      <c r="C47" s="389"/>
      <c r="D47" s="390">
        <v>12</v>
      </c>
      <c r="E47" s="390">
        <f>SUM(E48:E50)</f>
        <v>32000</v>
      </c>
      <c r="F47" s="390">
        <f t="shared" ref="F47:G47" si="10">SUM(F48:F50)</f>
        <v>35113</v>
      </c>
      <c r="G47" s="390">
        <f t="shared" si="10"/>
        <v>20000</v>
      </c>
      <c r="H47" s="391">
        <f t="shared" si="9"/>
        <v>62.5</v>
      </c>
      <c r="I47" s="348"/>
      <c r="J47" s="348"/>
      <c r="K47" s="348"/>
      <c r="L47" s="348"/>
      <c r="M47" s="348"/>
      <c r="N47" s="348"/>
    </row>
    <row r="48" spans="1:14" x14ac:dyDescent="0.2">
      <c r="A48" s="465" t="s">
        <v>191</v>
      </c>
      <c r="B48" s="466" t="s">
        <v>230</v>
      </c>
      <c r="C48" s="467">
        <v>535</v>
      </c>
      <c r="D48" s="468"/>
      <c r="E48" s="469">
        <v>18000</v>
      </c>
      <c r="F48" s="469">
        <v>20632</v>
      </c>
      <c r="G48" s="469">
        <f>SUM('[8]12'!G17:H17)</f>
        <v>11000</v>
      </c>
      <c r="H48" s="470">
        <f t="shared" si="9"/>
        <v>61.111111111111114</v>
      </c>
      <c r="I48" s="425"/>
      <c r="J48" s="425"/>
      <c r="K48" s="425"/>
    </row>
    <row r="49" spans="1:14" ht="27.75" customHeight="1" x14ac:dyDescent="0.2">
      <c r="A49" s="471" t="s">
        <v>191</v>
      </c>
      <c r="B49" s="466" t="s">
        <v>231</v>
      </c>
      <c r="C49" s="467">
        <v>590</v>
      </c>
      <c r="D49" s="468"/>
      <c r="E49" s="469">
        <v>9000</v>
      </c>
      <c r="F49" s="469">
        <v>12755</v>
      </c>
      <c r="G49" s="469">
        <f>SUM('[8]12'!G22:H22)</f>
        <v>5000</v>
      </c>
      <c r="H49" s="472">
        <f t="shared" si="9"/>
        <v>55.555555555555557</v>
      </c>
      <c r="I49" s="425"/>
      <c r="J49" s="425"/>
      <c r="K49" s="425"/>
    </row>
    <row r="50" spans="1:14" ht="29.25" customHeight="1" thickBot="1" x14ac:dyDescent="0.25">
      <c r="A50" s="473" t="s">
        <v>191</v>
      </c>
      <c r="B50" s="474" t="s">
        <v>232</v>
      </c>
      <c r="C50" s="475">
        <v>640</v>
      </c>
      <c r="D50" s="476"/>
      <c r="E50" s="477">
        <v>5000</v>
      </c>
      <c r="F50" s="477">
        <v>1726</v>
      </c>
      <c r="G50" s="477">
        <f>SUM('[8]12'!G29:H29)</f>
        <v>4000</v>
      </c>
      <c r="H50" s="472">
        <f t="shared" si="9"/>
        <v>80</v>
      </c>
      <c r="I50" s="425"/>
      <c r="J50" s="425"/>
      <c r="K50" s="425"/>
    </row>
    <row r="51" spans="1:14" s="481" customFormat="1" ht="18" customHeight="1" thickBot="1" x14ac:dyDescent="0.3">
      <c r="A51" s="387" t="s">
        <v>86</v>
      </c>
      <c r="B51" s="478"/>
      <c r="C51" s="479"/>
      <c r="D51" s="390">
        <v>13</v>
      </c>
      <c r="E51" s="390">
        <f>SUM(E52,E71)</f>
        <v>274660</v>
      </c>
      <c r="F51" s="390">
        <f t="shared" ref="F51:G51" si="11">SUM(F52,F71)</f>
        <v>290622</v>
      </c>
      <c r="G51" s="390">
        <f t="shared" si="11"/>
        <v>178040</v>
      </c>
      <c r="H51" s="391">
        <f t="shared" si="9"/>
        <v>64.821961698099472</v>
      </c>
      <c r="I51" s="480"/>
      <c r="J51" s="480"/>
      <c r="K51" s="480"/>
      <c r="L51" s="480"/>
      <c r="M51" s="480"/>
      <c r="N51" s="480"/>
    </row>
    <row r="52" spans="1:14" s="481" customFormat="1" ht="18" customHeight="1" x14ac:dyDescent="0.25">
      <c r="A52" s="482" t="s">
        <v>233</v>
      </c>
      <c r="B52" s="483"/>
      <c r="C52" s="484"/>
      <c r="D52" s="485"/>
      <c r="E52" s="486">
        <f t="shared" ref="E52:F52" si="12">SUM(E53,E56,E61,E62,E63,E64,E65,E67,E68)</f>
        <v>208570</v>
      </c>
      <c r="F52" s="486">
        <f t="shared" si="12"/>
        <v>222970</v>
      </c>
      <c r="G52" s="486">
        <f>SUM(G53,G56,G61,G62,G63,G64,G65,G67,G68)</f>
        <v>125000</v>
      </c>
      <c r="H52" s="487">
        <f t="shared" si="9"/>
        <v>59.931917341899599</v>
      </c>
      <c r="I52" s="480"/>
      <c r="J52" s="480"/>
      <c r="K52" s="480"/>
      <c r="L52" s="480"/>
      <c r="M52" s="480"/>
      <c r="N52" s="480"/>
    </row>
    <row r="53" spans="1:14" s="393" customFormat="1" ht="26.25" customHeight="1" x14ac:dyDescent="0.2">
      <c r="A53" s="488" t="s">
        <v>191</v>
      </c>
      <c r="B53" s="489" t="s">
        <v>234</v>
      </c>
      <c r="C53" s="490"/>
      <c r="D53" s="490"/>
      <c r="E53" s="491">
        <f>SUM(E54:E55)</f>
        <v>55620</v>
      </c>
      <c r="F53" s="491">
        <f>SUM(F54:F55)</f>
        <v>55620</v>
      </c>
      <c r="G53" s="491">
        <f>SUM(G54:G55)</f>
        <v>52600</v>
      </c>
      <c r="H53" s="492">
        <f t="shared" si="9"/>
        <v>94.570298453793598</v>
      </c>
      <c r="I53" s="493"/>
      <c r="J53" s="392"/>
      <c r="K53" s="392"/>
    </row>
    <row r="54" spans="1:14" s="495" customFormat="1" ht="12.75" x14ac:dyDescent="0.2">
      <c r="A54" s="418" t="s">
        <v>193</v>
      </c>
      <c r="B54" s="66" t="s">
        <v>235</v>
      </c>
      <c r="C54" s="417">
        <v>595</v>
      </c>
      <c r="D54" s="417"/>
      <c r="E54" s="406">
        <v>32120</v>
      </c>
      <c r="F54" s="406">
        <v>32120</v>
      </c>
      <c r="G54" s="406">
        <f>SUM('[8]13'!G64:H64)</f>
        <v>30100</v>
      </c>
      <c r="H54" s="407">
        <f t="shared" si="9"/>
        <v>93.71108343711083</v>
      </c>
      <c r="I54" s="494"/>
      <c r="J54" s="494"/>
      <c r="K54" s="494"/>
    </row>
    <row r="55" spans="1:14" s="495" customFormat="1" ht="12.75" x14ac:dyDescent="0.2">
      <c r="A55" s="408"/>
      <c r="B55" s="411" t="s">
        <v>236</v>
      </c>
      <c r="C55" s="436">
        <v>596</v>
      </c>
      <c r="D55" s="436"/>
      <c r="E55" s="414">
        <v>23500</v>
      </c>
      <c r="F55" s="414">
        <v>23500</v>
      </c>
      <c r="G55" s="414">
        <f>SUM('[8]13'!G65:H65)</f>
        <v>22500</v>
      </c>
      <c r="H55" s="415">
        <f t="shared" si="9"/>
        <v>95.744680851063833</v>
      </c>
      <c r="I55" s="494"/>
      <c r="J55" s="494"/>
      <c r="K55" s="494"/>
    </row>
    <row r="56" spans="1:14" s="393" customFormat="1" ht="28.5" x14ac:dyDescent="0.2">
      <c r="A56" s="488" t="s">
        <v>191</v>
      </c>
      <c r="B56" s="496" t="s">
        <v>237</v>
      </c>
      <c r="C56" s="497"/>
      <c r="D56" s="498"/>
      <c r="E56" s="491">
        <f>SUM(E57:E60)</f>
        <v>18400</v>
      </c>
      <c r="F56" s="491">
        <f>SUM(F57:F60)</f>
        <v>17538</v>
      </c>
      <c r="G56" s="491">
        <f>SUM(G57:G60)</f>
        <v>14000</v>
      </c>
      <c r="H56" s="492">
        <f t="shared" si="9"/>
        <v>76.08695652173914</v>
      </c>
      <c r="I56" s="392"/>
      <c r="J56" s="392"/>
      <c r="K56" s="392"/>
    </row>
    <row r="57" spans="1:14" s="495" customFormat="1" ht="15.75" customHeight="1" x14ac:dyDescent="0.2">
      <c r="A57" s="418"/>
      <c r="B57" s="66" t="s">
        <v>238</v>
      </c>
      <c r="C57" s="404">
        <v>501</v>
      </c>
      <c r="D57" s="417"/>
      <c r="E57" s="406">
        <v>13600</v>
      </c>
      <c r="F57" s="406">
        <v>13415</v>
      </c>
      <c r="G57" s="406">
        <f>SUM('[8]13'!G73:H73)</f>
        <v>9300</v>
      </c>
      <c r="H57" s="407">
        <f t="shared" si="9"/>
        <v>68.382352941176478</v>
      </c>
      <c r="I57" s="494"/>
      <c r="J57" s="494"/>
      <c r="K57" s="494"/>
    </row>
    <row r="58" spans="1:14" s="495" customFormat="1" ht="15" customHeight="1" x14ac:dyDescent="0.2">
      <c r="A58" s="418"/>
      <c r="B58" s="66" t="s">
        <v>239</v>
      </c>
      <c r="C58" s="417">
        <v>502</v>
      </c>
      <c r="D58" s="417"/>
      <c r="E58" s="406">
        <v>300</v>
      </c>
      <c r="F58" s="406">
        <v>253</v>
      </c>
      <c r="G58" s="406">
        <f>SUM('[8]13'!G74:H74)</f>
        <v>200</v>
      </c>
      <c r="H58" s="407">
        <f t="shared" si="9"/>
        <v>66.666666666666657</v>
      </c>
      <c r="I58" s="494"/>
      <c r="J58" s="494"/>
      <c r="K58" s="494"/>
    </row>
    <row r="59" spans="1:14" s="495" customFormat="1" ht="12.75" x14ac:dyDescent="0.2">
      <c r="A59" s="418"/>
      <c r="B59" s="66" t="s">
        <v>240</v>
      </c>
      <c r="C59" s="417">
        <v>503</v>
      </c>
      <c r="D59" s="417"/>
      <c r="E59" s="406">
        <v>2000</v>
      </c>
      <c r="F59" s="406">
        <v>1455</v>
      </c>
      <c r="G59" s="406">
        <f>SUM('[8]13'!G75:H75)</f>
        <v>2000</v>
      </c>
      <c r="H59" s="407">
        <f t="shared" si="9"/>
        <v>100</v>
      </c>
      <c r="I59" s="494"/>
      <c r="J59" s="494"/>
      <c r="K59" s="494"/>
    </row>
    <row r="60" spans="1:14" s="495" customFormat="1" ht="27" customHeight="1" x14ac:dyDescent="0.2">
      <c r="A60" s="408"/>
      <c r="B60" s="435" t="s">
        <v>241</v>
      </c>
      <c r="C60" s="436">
        <v>504</v>
      </c>
      <c r="D60" s="436"/>
      <c r="E60" s="414">
        <v>2500</v>
      </c>
      <c r="F60" s="414">
        <v>2415</v>
      </c>
      <c r="G60" s="414">
        <f>SUM('[8]13'!G76:H76)</f>
        <v>2500</v>
      </c>
      <c r="H60" s="415">
        <f t="shared" si="9"/>
        <v>100</v>
      </c>
      <c r="I60" s="494"/>
      <c r="J60" s="494"/>
      <c r="K60" s="494"/>
    </row>
    <row r="61" spans="1:14" s="505" customFormat="1" ht="42" customHeight="1" x14ac:dyDescent="0.2">
      <c r="A61" s="499" t="s">
        <v>191</v>
      </c>
      <c r="B61" s="500" t="s">
        <v>242</v>
      </c>
      <c r="C61" s="501">
        <v>505</v>
      </c>
      <c r="D61" s="502"/>
      <c r="E61" s="503">
        <v>1800</v>
      </c>
      <c r="F61" s="503">
        <v>1570</v>
      </c>
      <c r="G61" s="503">
        <f>SUM('[8]13'!G87:H87)</f>
        <v>1250</v>
      </c>
      <c r="H61" s="504">
        <f t="shared" si="9"/>
        <v>69.444444444444443</v>
      </c>
    </row>
    <row r="62" spans="1:14" s="401" customFormat="1" ht="28.5" customHeight="1" thickBot="1" x14ac:dyDescent="0.25">
      <c r="A62" s="460" t="s">
        <v>191</v>
      </c>
      <c r="B62" s="506" t="s">
        <v>243</v>
      </c>
      <c r="C62" s="507">
        <v>515</v>
      </c>
      <c r="D62" s="508"/>
      <c r="E62" s="464">
        <v>4000</v>
      </c>
      <c r="F62" s="464">
        <v>4185</v>
      </c>
      <c r="G62" s="464">
        <f>SUM('[8]13'!G93:H93)</f>
        <v>3800</v>
      </c>
      <c r="H62" s="509">
        <f t="shared" si="9"/>
        <v>95</v>
      </c>
      <c r="I62" s="400"/>
      <c r="J62" s="400"/>
      <c r="K62" s="400"/>
    </row>
    <row r="63" spans="1:14" s="401" customFormat="1" ht="28.5" customHeight="1" x14ac:dyDescent="0.2">
      <c r="A63" s="447" t="s">
        <v>191</v>
      </c>
      <c r="B63" s="510" t="s">
        <v>244</v>
      </c>
      <c r="C63" s="449">
        <v>600</v>
      </c>
      <c r="D63" s="450"/>
      <c r="E63" s="423">
        <v>1500</v>
      </c>
      <c r="F63" s="423">
        <v>1500</v>
      </c>
      <c r="G63" s="423">
        <f>SUM('[8]13'!G99:H99)</f>
        <v>1500</v>
      </c>
      <c r="H63" s="424">
        <f t="shared" si="9"/>
        <v>100</v>
      </c>
      <c r="I63" s="400"/>
      <c r="J63" s="400"/>
      <c r="K63" s="400"/>
    </row>
    <row r="64" spans="1:14" s="393" customFormat="1" ht="28.5" customHeight="1" x14ac:dyDescent="0.2">
      <c r="A64" s="499" t="s">
        <v>191</v>
      </c>
      <c r="B64" s="511" t="s">
        <v>245</v>
      </c>
      <c r="C64" s="501">
        <v>605</v>
      </c>
      <c r="D64" s="502"/>
      <c r="E64" s="503">
        <v>84650</v>
      </c>
      <c r="F64" s="503">
        <v>98170</v>
      </c>
      <c r="G64" s="503">
        <f>SUM('[8]13'!G105:H105)</f>
        <v>29250</v>
      </c>
      <c r="H64" s="504">
        <f t="shared" si="9"/>
        <v>34.554046072061425</v>
      </c>
      <c r="I64" s="392"/>
      <c r="J64" s="392"/>
      <c r="K64" s="392"/>
    </row>
    <row r="65" spans="1:14" s="393" customFormat="1" ht="44.25" customHeight="1" x14ac:dyDescent="0.2">
      <c r="A65" s="426" t="s">
        <v>191</v>
      </c>
      <c r="B65" s="512" t="s">
        <v>246</v>
      </c>
      <c r="C65" s="459">
        <v>695</v>
      </c>
      <c r="D65" s="434"/>
      <c r="E65" s="398">
        <f>SUM(E66)</f>
        <v>25000</v>
      </c>
      <c r="F65" s="398">
        <f t="shared" ref="F65" si="13">SUM(F66)</f>
        <v>23687</v>
      </c>
      <c r="G65" s="398">
        <v>5000</v>
      </c>
      <c r="H65" s="399">
        <f t="shared" si="9"/>
        <v>20</v>
      </c>
      <c r="I65" s="392"/>
      <c r="J65" s="392"/>
      <c r="K65" s="392"/>
    </row>
    <row r="66" spans="1:14" s="495" customFormat="1" ht="25.5" customHeight="1" x14ac:dyDescent="0.2">
      <c r="A66" s="513" t="s">
        <v>193</v>
      </c>
      <c r="B66" s="514" t="s">
        <v>247</v>
      </c>
      <c r="C66" s="436">
        <v>606</v>
      </c>
      <c r="D66" s="436"/>
      <c r="E66" s="414">
        <v>25000</v>
      </c>
      <c r="F66" s="414">
        <v>23687</v>
      </c>
      <c r="G66" s="414"/>
      <c r="H66" s="407"/>
      <c r="I66" s="494"/>
      <c r="J66" s="494"/>
      <c r="K66" s="494"/>
    </row>
    <row r="67" spans="1:14" s="393" customFormat="1" ht="42.75" customHeight="1" x14ac:dyDescent="0.2">
      <c r="A67" s="451" t="s">
        <v>191</v>
      </c>
      <c r="B67" s="452" t="s">
        <v>248</v>
      </c>
      <c r="C67" s="453">
        <v>615</v>
      </c>
      <c r="D67" s="454"/>
      <c r="E67" s="455">
        <v>4000</v>
      </c>
      <c r="F67" s="455">
        <v>8400</v>
      </c>
      <c r="G67" s="455">
        <f>SUM('[8]13'!G120:H120)</f>
        <v>4000</v>
      </c>
      <c r="H67" s="456">
        <f t="shared" ref="H67:H108" si="14">G67/E67*100</f>
        <v>100</v>
      </c>
      <c r="I67" s="392"/>
      <c r="J67" s="392"/>
      <c r="K67" s="392"/>
    </row>
    <row r="68" spans="1:14" s="393" customFormat="1" x14ac:dyDescent="0.2">
      <c r="A68" s="410" t="s">
        <v>191</v>
      </c>
      <c r="B68" s="489" t="s">
        <v>249</v>
      </c>
      <c r="C68" s="459"/>
      <c r="D68" s="434"/>
      <c r="E68" s="398">
        <f>SUM(E69:E70)</f>
        <v>13600</v>
      </c>
      <c r="F68" s="398">
        <f t="shared" ref="F68:G68" si="15">SUM(F69:F70)</f>
        <v>12300</v>
      </c>
      <c r="G68" s="398">
        <f t="shared" si="15"/>
        <v>13600</v>
      </c>
      <c r="H68" s="399">
        <f t="shared" si="14"/>
        <v>100</v>
      </c>
      <c r="I68" s="392"/>
      <c r="J68" s="392"/>
      <c r="K68" s="392"/>
    </row>
    <row r="69" spans="1:14" s="495" customFormat="1" ht="12.75" x14ac:dyDescent="0.2">
      <c r="A69" s="418" t="s">
        <v>193</v>
      </c>
      <c r="B69" s="66" t="s">
        <v>250</v>
      </c>
      <c r="C69" s="417">
        <v>650</v>
      </c>
      <c r="D69" s="417"/>
      <c r="E69" s="406">
        <v>7300</v>
      </c>
      <c r="F69" s="406">
        <v>6000</v>
      </c>
      <c r="G69" s="406">
        <f>SUM('[8]13'!G128:H128)</f>
        <v>7300</v>
      </c>
      <c r="H69" s="407">
        <f t="shared" si="14"/>
        <v>100</v>
      </c>
      <c r="I69" s="494"/>
      <c r="J69" s="494"/>
      <c r="K69" s="494"/>
    </row>
    <row r="70" spans="1:14" s="495" customFormat="1" ht="12.75" x14ac:dyDescent="0.2">
      <c r="A70" s="408"/>
      <c r="B70" s="514" t="s">
        <v>251</v>
      </c>
      <c r="C70" s="436">
        <v>651</v>
      </c>
      <c r="D70" s="436"/>
      <c r="E70" s="414">
        <v>6300</v>
      </c>
      <c r="F70" s="414">
        <v>6300</v>
      </c>
      <c r="G70" s="414">
        <f>SUM('[8]13'!G129:H129)</f>
        <v>6300</v>
      </c>
      <c r="H70" s="407">
        <f t="shared" si="14"/>
        <v>100</v>
      </c>
      <c r="I70" s="494"/>
      <c r="J70" s="494"/>
      <c r="K70" s="494"/>
    </row>
    <row r="71" spans="1:14" s="481" customFormat="1" ht="18" customHeight="1" x14ac:dyDescent="0.25">
      <c r="A71" s="515" t="s">
        <v>252</v>
      </c>
      <c r="B71" s="516"/>
      <c r="C71" s="517"/>
      <c r="D71" s="518"/>
      <c r="E71" s="519">
        <f>SUM(E72,E76,E77,E78,E79,E82)</f>
        <v>66090</v>
      </c>
      <c r="F71" s="519">
        <f t="shared" ref="F71:G71" si="16">SUM(F72,F76,F77,F78,F79,F82)</f>
        <v>67652</v>
      </c>
      <c r="G71" s="519">
        <f t="shared" si="16"/>
        <v>53040</v>
      </c>
      <c r="H71" s="520">
        <f t="shared" si="14"/>
        <v>80.254198819791185</v>
      </c>
      <c r="I71" s="480"/>
      <c r="J71" s="480"/>
      <c r="K71" s="480"/>
      <c r="L71" s="480"/>
      <c r="M71" s="480"/>
      <c r="N71" s="480"/>
    </row>
    <row r="72" spans="1:14" s="393" customFormat="1" x14ac:dyDescent="0.2">
      <c r="A72" s="410" t="s">
        <v>191</v>
      </c>
      <c r="B72" s="395" t="s">
        <v>253</v>
      </c>
      <c r="C72" s="497"/>
      <c r="D72" s="498"/>
      <c r="E72" s="491">
        <f>SUM(E73:E75)</f>
        <v>16500</v>
      </c>
      <c r="F72" s="491">
        <f>SUM(F73:F75)</f>
        <v>15839</v>
      </c>
      <c r="G72" s="491">
        <f t="shared" ref="G72" si="17">SUM(G73:G75)</f>
        <v>13050</v>
      </c>
      <c r="H72" s="492">
        <f t="shared" si="14"/>
        <v>79.090909090909093</v>
      </c>
      <c r="I72" s="392"/>
      <c r="J72" s="392"/>
      <c r="K72" s="392"/>
    </row>
    <row r="73" spans="1:14" s="495" customFormat="1" ht="12.75" x14ac:dyDescent="0.2">
      <c r="A73" s="402" t="s">
        <v>193</v>
      </c>
      <c r="B73" s="66" t="s">
        <v>254</v>
      </c>
      <c r="C73" s="404">
        <v>550</v>
      </c>
      <c r="D73" s="417"/>
      <c r="E73" s="406">
        <v>12000</v>
      </c>
      <c r="F73" s="406">
        <v>11721</v>
      </c>
      <c r="G73" s="406">
        <f>SUM('[8]13'!G138:H138)</f>
        <v>10550</v>
      </c>
      <c r="H73" s="407">
        <f t="shared" si="14"/>
        <v>87.916666666666671</v>
      </c>
      <c r="I73" s="494"/>
      <c r="J73" s="494"/>
      <c r="K73" s="494"/>
    </row>
    <row r="74" spans="1:14" s="495" customFormat="1" ht="12.75" x14ac:dyDescent="0.2">
      <c r="A74" s="418"/>
      <c r="B74" s="417" t="s">
        <v>255</v>
      </c>
      <c r="C74" s="404">
        <v>551</v>
      </c>
      <c r="D74" s="417"/>
      <c r="E74" s="406">
        <v>1500</v>
      </c>
      <c r="F74" s="406">
        <v>1508</v>
      </c>
      <c r="G74" s="406">
        <f>SUM('[8]13'!G134:H134)</f>
        <v>1500</v>
      </c>
      <c r="H74" s="407">
        <f t="shared" si="14"/>
        <v>100</v>
      </c>
      <c r="I74" s="494"/>
      <c r="J74" s="494"/>
      <c r="K74" s="494"/>
    </row>
    <row r="75" spans="1:14" s="495" customFormat="1" ht="27" customHeight="1" x14ac:dyDescent="0.2">
      <c r="A75" s="408"/>
      <c r="B75" s="412" t="s">
        <v>256</v>
      </c>
      <c r="C75" s="412">
        <v>552</v>
      </c>
      <c r="D75" s="436"/>
      <c r="E75" s="414">
        <v>3000</v>
      </c>
      <c r="F75" s="414">
        <v>2610</v>
      </c>
      <c r="G75" s="414">
        <f>SUM('[8]13'!G135:H135)</f>
        <v>1000</v>
      </c>
      <c r="H75" s="407">
        <f t="shared" si="14"/>
        <v>33.333333333333329</v>
      </c>
      <c r="I75" s="494"/>
      <c r="J75" s="494"/>
      <c r="K75" s="494"/>
    </row>
    <row r="76" spans="1:14" s="393" customFormat="1" ht="28.5" x14ac:dyDescent="0.2">
      <c r="A76" s="451" t="s">
        <v>191</v>
      </c>
      <c r="B76" s="457" t="s">
        <v>257</v>
      </c>
      <c r="C76" s="453">
        <v>555</v>
      </c>
      <c r="D76" s="454"/>
      <c r="E76" s="455">
        <v>17500</v>
      </c>
      <c r="F76" s="455">
        <v>20423</v>
      </c>
      <c r="G76" s="455">
        <f>SUM('[8]13'!G145:H145)</f>
        <v>15000</v>
      </c>
      <c r="H76" s="456">
        <f t="shared" si="14"/>
        <v>85.714285714285708</v>
      </c>
      <c r="I76" s="392"/>
      <c r="J76" s="392"/>
      <c r="K76" s="392"/>
    </row>
    <row r="77" spans="1:14" s="393" customFormat="1" x14ac:dyDescent="0.2">
      <c r="A77" s="521" t="s">
        <v>191</v>
      </c>
      <c r="B77" s="522" t="s">
        <v>258</v>
      </c>
      <c r="C77" s="453">
        <v>670</v>
      </c>
      <c r="D77" s="454"/>
      <c r="E77" s="455">
        <v>13090</v>
      </c>
      <c r="F77" s="455">
        <v>13090</v>
      </c>
      <c r="G77" s="455">
        <f>SUM('[8]13'!G151:H151)</f>
        <v>11790</v>
      </c>
      <c r="H77" s="456">
        <f t="shared" si="14"/>
        <v>90.068754774637128</v>
      </c>
      <c r="I77" s="392"/>
      <c r="J77" s="392"/>
      <c r="K77" s="392"/>
    </row>
    <row r="78" spans="1:14" ht="29.25" customHeight="1" x14ac:dyDescent="0.2">
      <c r="A78" s="451" t="s">
        <v>191</v>
      </c>
      <c r="B78" s="523" t="s">
        <v>259</v>
      </c>
      <c r="C78" s="453">
        <v>610</v>
      </c>
      <c r="D78" s="454"/>
      <c r="E78" s="455">
        <v>11000</v>
      </c>
      <c r="F78" s="455">
        <v>10300</v>
      </c>
      <c r="G78" s="455">
        <f>SUM('[8]13'!G155:H155)</f>
        <v>12500</v>
      </c>
      <c r="H78" s="456">
        <f t="shared" si="14"/>
        <v>113.63636363636364</v>
      </c>
      <c r="I78" s="393"/>
    </row>
    <row r="79" spans="1:14" ht="29.25" customHeight="1" x14ac:dyDescent="0.2">
      <c r="A79" s="488" t="s">
        <v>191</v>
      </c>
      <c r="B79" s="524" t="s">
        <v>260</v>
      </c>
      <c r="C79" s="525"/>
      <c r="D79" s="498"/>
      <c r="E79" s="491">
        <f>SUM(E80:E81)</f>
        <v>6000</v>
      </c>
      <c r="F79" s="491">
        <f>SUM(F80:F81)</f>
        <v>6558</v>
      </c>
      <c r="G79" s="491">
        <f>SUM(G80:G81)</f>
        <v>0</v>
      </c>
      <c r="H79" s="399">
        <f t="shared" si="14"/>
        <v>0</v>
      </c>
      <c r="I79" s="393"/>
    </row>
    <row r="80" spans="1:14" s="432" customFormat="1" ht="15" customHeight="1" x14ac:dyDescent="0.2">
      <c r="A80" s="402" t="s">
        <v>193</v>
      </c>
      <c r="B80" s="526" t="s">
        <v>261</v>
      </c>
      <c r="C80" s="525">
        <v>620</v>
      </c>
      <c r="D80" s="417"/>
      <c r="E80" s="406">
        <v>5000</v>
      </c>
      <c r="F80" s="527">
        <v>5000</v>
      </c>
      <c r="G80" s="527">
        <v>0</v>
      </c>
      <c r="H80" s="528">
        <f t="shared" si="14"/>
        <v>0</v>
      </c>
      <c r="I80" s="495"/>
    </row>
    <row r="81" spans="1:9" s="432" customFormat="1" ht="15" customHeight="1" x14ac:dyDescent="0.2">
      <c r="A81" s="408"/>
      <c r="B81" s="529" t="s">
        <v>262</v>
      </c>
      <c r="C81" s="501">
        <v>621</v>
      </c>
      <c r="D81" s="436"/>
      <c r="E81" s="530">
        <v>1000</v>
      </c>
      <c r="F81" s="530">
        <v>1558</v>
      </c>
      <c r="G81" s="530">
        <v>0</v>
      </c>
      <c r="H81" s="531">
        <f t="shared" si="14"/>
        <v>0</v>
      </c>
      <c r="I81" s="495"/>
    </row>
    <row r="82" spans="1:9" ht="29.25" customHeight="1" thickBot="1" x14ac:dyDescent="0.25">
      <c r="A82" s="451" t="s">
        <v>191</v>
      </c>
      <c r="B82" s="524" t="s">
        <v>263</v>
      </c>
      <c r="C82" s="525">
        <v>655</v>
      </c>
      <c r="D82" s="498"/>
      <c r="E82" s="491">
        <v>2000</v>
      </c>
      <c r="F82" s="491">
        <v>1442</v>
      </c>
      <c r="G82" s="491">
        <f>SUM('[8]13'!G163:H163)</f>
        <v>700</v>
      </c>
      <c r="H82" s="399">
        <f t="shared" si="14"/>
        <v>35</v>
      </c>
      <c r="I82" s="393"/>
    </row>
    <row r="83" spans="1:9" s="505" customFormat="1" ht="15" x14ac:dyDescent="0.25">
      <c r="A83" s="532" t="s">
        <v>184</v>
      </c>
      <c r="B83" s="533"/>
      <c r="C83" s="534"/>
      <c r="D83" s="535">
        <v>14</v>
      </c>
      <c r="E83" s="536">
        <f>SUM(E84,E90,E93,E94,E95,E99)</f>
        <v>21400</v>
      </c>
      <c r="F83" s="536">
        <f t="shared" ref="F83" si="18">SUM(F84,F90,F93,F94,F95,F99)</f>
        <v>17100</v>
      </c>
      <c r="G83" s="536">
        <f>SUM(G84,G90,G93,G94,G95,G99)</f>
        <v>13675</v>
      </c>
      <c r="H83" s="537">
        <f t="shared" si="14"/>
        <v>63.901869158878498</v>
      </c>
    </row>
    <row r="84" spans="1:9" ht="15" customHeight="1" x14ac:dyDescent="0.2">
      <c r="A84" s="394" t="s">
        <v>191</v>
      </c>
      <c r="B84" s="416" t="s">
        <v>264</v>
      </c>
      <c r="C84" s="396"/>
      <c r="D84" s="434"/>
      <c r="E84" s="398">
        <f>SUM(E85:E89)</f>
        <v>4000</v>
      </c>
      <c r="F84" s="398">
        <f>SUM(F85:F89)</f>
        <v>4000</v>
      </c>
      <c r="G84" s="398">
        <f>SUM(G85:G89)</f>
        <v>2625</v>
      </c>
      <c r="H84" s="399">
        <f t="shared" si="14"/>
        <v>65.625</v>
      </c>
    </row>
    <row r="85" spans="1:9" s="432" customFormat="1" ht="15" customHeight="1" x14ac:dyDescent="0.2">
      <c r="A85" s="402" t="s">
        <v>193</v>
      </c>
      <c r="B85" s="404" t="s">
        <v>265</v>
      </c>
      <c r="C85" s="404">
        <v>575</v>
      </c>
      <c r="D85" s="417"/>
      <c r="E85" s="406">
        <v>1700</v>
      </c>
      <c r="F85" s="406">
        <v>1700</v>
      </c>
      <c r="G85" s="406">
        <f>SUM('[8]14'!G23:H23)</f>
        <v>1375</v>
      </c>
      <c r="H85" s="407">
        <f t="shared" si="14"/>
        <v>80.882352941176478</v>
      </c>
    </row>
    <row r="86" spans="1:9" s="432" customFormat="1" ht="15" customHeight="1" x14ac:dyDescent="0.2">
      <c r="A86" s="418"/>
      <c r="B86" s="404" t="s">
        <v>266</v>
      </c>
      <c r="C86" s="404">
        <v>576</v>
      </c>
      <c r="D86" s="417"/>
      <c r="E86" s="406">
        <v>1000</v>
      </c>
      <c r="F86" s="406">
        <v>900</v>
      </c>
      <c r="G86" s="406">
        <f>SUM('[8]14'!G24:H24)</f>
        <v>450</v>
      </c>
      <c r="H86" s="407">
        <f t="shared" si="14"/>
        <v>45</v>
      </c>
    </row>
    <row r="87" spans="1:9" s="432" customFormat="1" ht="15" customHeight="1" x14ac:dyDescent="0.2">
      <c r="A87" s="418"/>
      <c r="B87" s="404" t="s">
        <v>267</v>
      </c>
      <c r="C87" s="404">
        <v>577</v>
      </c>
      <c r="D87" s="417"/>
      <c r="E87" s="406">
        <v>500</v>
      </c>
      <c r="F87" s="406">
        <v>500</v>
      </c>
      <c r="G87" s="406">
        <f>SUM('[8]14'!G25:H25)</f>
        <v>300</v>
      </c>
      <c r="H87" s="407">
        <f t="shared" si="14"/>
        <v>60</v>
      </c>
    </row>
    <row r="88" spans="1:9" s="432" customFormat="1" ht="15" customHeight="1" x14ac:dyDescent="0.2">
      <c r="A88" s="418"/>
      <c r="B88" s="404" t="s">
        <v>268</v>
      </c>
      <c r="C88" s="404">
        <v>578</v>
      </c>
      <c r="D88" s="417"/>
      <c r="E88" s="406">
        <v>500</v>
      </c>
      <c r="F88" s="406">
        <v>404</v>
      </c>
      <c r="G88" s="406">
        <f>SUM('[8]14'!G26:H26)</f>
        <v>300</v>
      </c>
      <c r="H88" s="407">
        <f t="shared" si="14"/>
        <v>60</v>
      </c>
    </row>
    <row r="89" spans="1:9" s="432" customFormat="1" ht="16.5" customHeight="1" x14ac:dyDescent="0.2">
      <c r="A89" s="418"/>
      <c r="B89" s="404" t="s">
        <v>269</v>
      </c>
      <c r="C89" s="404">
        <v>579</v>
      </c>
      <c r="D89" s="417"/>
      <c r="E89" s="406">
        <v>300</v>
      </c>
      <c r="F89" s="406">
        <v>496</v>
      </c>
      <c r="G89" s="406">
        <f>SUM('[8]14'!G34:H34)</f>
        <v>200</v>
      </c>
      <c r="H89" s="407">
        <f t="shared" si="14"/>
        <v>66.666666666666657</v>
      </c>
    </row>
    <row r="90" spans="1:9" ht="28.5" customHeight="1" x14ac:dyDescent="0.2">
      <c r="A90" s="426" t="s">
        <v>191</v>
      </c>
      <c r="B90" s="458" t="s">
        <v>270</v>
      </c>
      <c r="C90" s="428"/>
      <c r="D90" s="434"/>
      <c r="E90" s="398">
        <f>SUM(E91:E92)</f>
        <v>5900</v>
      </c>
      <c r="F90" s="398">
        <f>SUM(F91:F92)</f>
        <v>3300</v>
      </c>
      <c r="G90" s="398">
        <f>SUM(G91:G92)</f>
        <v>2250</v>
      </c>
      <c r="H90" s="399">
        <f t="shared" si="14"/>
        <v>38.135593220338983</v>
      </c>
    </row>
    <row r="91" spans="1:9" s="432" customFormat="1" ht="15.75" customHeight="1" x14ac:dyDescent="0.2">
      <c r="A91" s="402" t="s">
        <v>193</v>
      </c>
      <c r="B91" s="404" t="s">
        <v>271</v>
      </c>
      <c r="C91" s="417">
        <v>566</v>
      </c>
      <c r="D91" s="417"/>
      <c r="E91" s="406">
        <v>1900</v>
      </c>
      <c r="F91" s="406">
        <v>1412</v>
      </c>
      <c r="G91" s="406">
        <f>SUM('[8]14'!G42:H42)</f>
        <v>700</v>
      </c>
      <c r="H91" s="407">
        <f t="shared" si="14"/>
        <v>36.84210526315789</v>
      </c>
    </row>
    <row r="92" spans="1:9" s="432" customFormat="1" ht="17.25" customHeight="1" x14ac:dyDescent="0.2">
      <c r="A92" s="418"/>
      <c r="B92" s="404" t="s">
        <v>272</v>
      </c>
      <c r="C92" s="417">
        <v>675</v>
      </c>
      <c r="D92" s="417"/>
      <c r="E92" s="406">
        <v>4000</v>
      </c>
      <c r="F92" s="406">
        <v>1888</v>
      </c>
      <c r="G92" s="406">
        <f>SUM('[8]14'!G43:H43)</f>
        <v>1550</v>
      </c>
      <c r="H92" s="407">
        <f t="shared" si="14"/>
        <v>38.75</v>
      </c>
    </row>
    <row r="93" spans="1:9" s="542" customFormat="1" ht="15" customHeight="1" x14ac:dyDescent="0.2">
      <c r="A93" s="538" t="s">
        <v>191</v>
      </c>
      <c r="B93" s="539" t="s">
        <v>273</v>
      </c>
      <c r="C93" s="540">
        <v>570</v>
      </c>
      <c r="D93" s="539"/>
      <c r="E93" s="455">
        <v>2500</v>
      </c>
      <c r="F93" s="455">
        <v>2500</v>
      </c>
      <c r="G93" s="455">
        <f>SUM('[8]14'!G46:H46)</f>
        <v>1500</v>
      </c>
      <c r="H93" s="541">
        <f t="shared" si="14"/>
        <v>60</v>
      </c>
    </row>
    <row r="94" spans="1:9" s="542" customFormat="1" ht="15" customHeight="1" x14ac:dyDescent="0.2">
      <c r="A94" s="538" t="s">
        <v>191</v>
      </c>
      <c r="B94" s="539" t="s">
        <v>274</v>
      </c>
      <c r="C94" s="540">
        <v>625</v>
      </c>
      <c r="D94" s="539"/>
      <c r="E94" s="539">
        <v>900</v>
      </c>
      <c r="F94" s="539">
        <v>0</v>
      </c>
      <c r="G94" s="539">
        <v>0</v>
      </c>
      <c r="H94" s="541">
        <f t="shared" si="14"/>
        <v>0</v>
      </c>
    </row>
    <row r="95" spans="1:9" s="542" customFormat="1" ht="31.5" customHeight="1" x14ac:dyDescent="0.2">
      <c r="A95" s="426" t="s">
        <v>191</v>
      </c>
      <c r="B95" s="458" t="s">
        <v>275</v>
      </c>
      <c r="C95" s="428"/>
      <c r="D95" s="434"/>
      <c r="E95" s="398">
        <f>SUM(E96:E98)</f>
        <v>6900</v>
      </c>
      <c r="F95" s="398">
        <f t="shared" ref="F95:G95" si="19">SUM(F96:F98)</f>
        <v>6900</v>
      </c>
      <c r="G95" s="398">
        <f t="shared" si="19"/>
        <v>6900</v>
      </c>
      <c r="H95" s="399">
        <f t="shared" si="14"/>
        <v>100</v>
      </c>
    </row>
    <row r="96" spans="1:9" s="543" customFormat="1" ht="15" customHeight="1" x14ac:dyDescent="0.2">
      <c r="A96" s="402" t="s">
        <v>193</v>
      </c>
      <c r="B96" s="404" t="s">
        <v>276</v>
      </c>
      <c r="C96" s="417">
        <v>660</v>
      </c>
      <c r="D96" s="417"/>
      <c r="E96" s="406">
        <v>2500</v>
      </c>
      <c r="F96" s="406">
        <v>2320</v>
      </c>
      <c r="G96" s="406">
        <f>SUM('[8]14'!G59:H59)</f>
        <v>2500</v>
      </c>
      <c r="H96" s="407">
        <f t="shared" si="14"/>
        <v>100</v>
      </c>
    </row>
    <row r="97" spans="1:9" s="543" customFormat="1" ht="15" customHeight="1" x14ac:dyDescent="0.2">
      <c r="A97" s="418"/>
      <c r="B97" s="404" t="s">
        <v>277</v>
      </c>
      <c r="C97" s="417">
        <v>661</v>
      </c>
      <c r="D97" s="417"/>
      <c r="E97" s="406">
        <v>4000</v>
      </c>
      <c r="F97" s="406">
        <v>4180</v>
      </c>
      <c r="G97" s="406">
        <f>SUM('[8]14'!G54:H54)</f>
        <v>4000</v>
      </c>
      <c r="H97" s="407">
        <f t="shared" si="14"/>
        <v>100</v>
      </c>
    </row>
    <row r="98" spans="1:9" s="543" customFormat="1" ht="15" customHeight="1" x14ac:dyDescent="0.2">
      <c r="A98" s="418"/>
      <c r="B98" s="404" t="s">
        <v>278</v>
      </c>
      <c r="C98" s="417">
        <v>662</v>
      </c>
      <c r="D98" s="417"/>
      <c r="E98" s="406">
        <v>400</v>
      </c>
      <c r="F98" s="406">
        <v>400</v>
      </c>
      <c r="G98" s="406">
        <f>SUM('[8]14'!G61:H61)</f>
        <v>400</v>
      </c>
      <c r="H98" s="407">
        <f t="shared" si="14"/>
        <v>100</v>
      </c>
    </row>
    <row r="99" spans="1:9" s="542" customFormat="1" ht="15" customHeight="1" x14ac:dyDescent="0.2">
      <c r="A99" s="394" t="s">
        <v>191</v>
      </c>
      <c r="B99" s="458" t="s">
        <v>279</v>
      </c>
      <c r="C99" s="428"/>
      <c r="D99" s="434"/>
      <c r="E99" s="398">
        <f t="shared" ref="E99" si="20">SUM(E100:E101)</f>
        <v>1200</v>
      </c>
      <c r="F99" s="398">
        <f t="shared" ref="F99" si="21">SUM(F100:F101)</f>
        <v>400</v>
      </c>
      <c r="G99" s="398">
        <f>SUM(G100:G101)</f>
        <v>400</v>
      </c>
      <c r="H99" s="399">
        <f t="shared" si="14"/>
        <v>33.333333333333329</v>
      </c>
    </row>
    <row r="100" spans="1:9" s="543" customFormat="1" ht="15" customHeight="1" x14ac:dyDescent="0.2">
      <c r="A100" s="402" t="s">
        <v>193</v>
      </c>
      <c r="B100" s="404" t="s">
        <v>280</v>
      </c>
      <c r="C100" s="417">
        <v>665</v>
      </c>
      <c r="D100" s="417"/>
      <c r="E100" s="406">
        <v>600</v>
      </c>
      <c r="F100" s="406">
        <v>200</v>
      </c>
      <c r="G100" s="406">
        <f>SUM('[8]14'!G65:H65)</f>
        <v>200</v>
      </c>
      <c r="H100" s="407">
        <f t="shared" si="14"/>
        <v>33.333333333333329</v>
      </c>
    </row>
    <row r="101" spans="1:9" s="543" customFormat="1" ht="30" customHeight="1" thickBot="1" x14ac:dyDescent="0.25">
      <c r="A101" s="408"/>
      <c r="B101" s="412" t="s">
        <v>281</v>
      </c>
      <c r="C101" s="436">
        <v>666</v>
      </c>
      <c r="D101" s="436"/>
      <c r="E101" s="414">
        <v>600</v>
      </c>
      <c r="F101" s="414">
        <v>200</v>
      </c>
      <c r="G101" s="414">
        <f>SUM('[8]14'!G66:H66)</f>
        <v>200</v>
      </c>
      <c r="H101" s="407">
        <f t="shared" si="14"/>
        <v>33.333333333333329</v>
      </c>
    </row>
    <row r="102" spans="1:9" s="505" customFormat="1" ht="15.75" thickBot="1" x14ac:dyDescent="0.3">
      <c r="A102" s="544" t="s">
        <v>88</v>
      </c>
      <c r="B102" s="545"/>
      <c r="C102" s="546"/>
      <c r="D102" s="547">
        <v>18</v>
      </c>
      <c r="E102" s="548">
        <f>SUM(E103,E110,E114)</f>
        <v>29200</v>
      </c>
      <c r="F102" s="548">
        <f>SUM(F103,F110,F114)</f>
        <v>37600</v>
      </c>
      <c r="G102" s="548">
        <f>SUM(G103,G110,G114)</f>
        <v>19600</v>
      </c>
      <c r="H102" s="549">
        <f t="shared" si="14"/>
        <v>67.123287671232873</v>
      </c>
      <c r="I102" s="376"/>
    </row>
    <row r="103" spans="1:9" ht="30" customHeight="1" x14ac:dyDescent="0.2">
      <c r="A103" s="488" t="s">
        <v>191</v>
      </c>
      <c r="B103" s="496" t="s">
        <v>282</v>
      </c>
      <c r="C103" s="497"/>
      <c r="D103" s="498"/>
      <c r="E103" s="491">
        <f>SUM(E104:E108)</f>
        <v>11200</v>
      </c>
      <c r="F103" s="491">
        <f>SUM(F104:F109)</f>
        <v>20269</v>
      </c>
      <c r="G103" s="491">
        <f t="shared" ref="G103" si="22">SUM(G104:G108)</f>
        <v>8100</v>
      </c>
      <c r="H103" s="492">
        <f t="shared" si="14"/>
        <v>72.321428571428569</v>
      </c>
    </row>
    <row r="104" spans="1:9" s="432" customFormat="1" ht="15" customHeight="1" x14ac:dyDescent="0.2">
      <c r="A104" s="402" t="s">
        <v>193</v>
      </c>
      <c r="B104" s="404" t="s">
        <v>283</v>
      </c>
      <c r="C104" s="404">
        <v>580</v>
      </c>
      <c r="D104" s="417"/>
      <c r="E104" s="406">
        <v>1500</v>
      </c>
      <c r="F104" s="406">
        <v>988</v>
      </c>
      <c r="G104" s="406">
        <f>SUM('[8]18'!G18:H18)</f>
        <v>1000</v>
      </c>
      <c r="H104" s="407">
        <f t="shared" si="14"/>
        <v>66.666666666666657</v>
      </c>
    </row>
    <row r="105" spans="1:9" s="432" customFormat="1" ht="15" customHeight="1" x14ac:dyDescent="0.2">
      <c r="A105" s="418"/>
      <c r="B105" s="404" t="s">
        <v>284</v>
      </c>
      <c r="C105" s="404">
        <v>581</v>
      </c>
      <c r="D105" s="417"/>
      <c r="E105" s="406">
        <v>800</v>
      </c>
      <c r="F105" s="406">
        <v>444</v>
      </c>
      <c r="G105" s="406">
        <f>SUM('[8]18'!G19:H19)</f>
        <v>400</v>
      </c>
      <c r="H105" s="407">
        <f t="shared" si="14"/>
        <v>50</v>
      </c>
    </row>
    <row r="106" spans="1:9" s="432" customFormat="1" ht="30" customHeight="1" x14ac:dyDescent="0.2">
      <c r="A106" s="418"/>
      <c r="B106" s="404" t="s">
        <v>285</v>
      </c>
      <c r="C106" s="404">
        <v>582</v>
      </c>
      <c r="D106" s="417"/>
      <c r="E106" s="406">
        <v>800</v>
      </c>
      <c r="F106" s="406">
        <v>800</v>
      </c>
      <c r="G106" s="406">
        <f>SUM('[8]18'!G20:H20)</f>
        <v>600</v>
      </c>
      <c r="H106" s="407">
        <f t="shared" si="14"/>
        <v>75</v>
      </c>
    </row>
    <row r="107" spans="1:9" s="432" customFormat="1" ht="14.25" customHeight="1" x14ac:dyDescent="0.2">
      <c r="A107" s="418"/>
      <c r="B107" s="404" t="s">
        <v>286</v>
      </c>
      <c r="C107" s="404">
        <v>583</v>
      </c>
      <c r="D107" s="417"/>
      <c r="E107" s="406">
        <v>7100</v>
      </c>
      <c r="F107" s="406">
        <v>7037</v>
      </c>
      <c r="G107" s="406">
        <f>SUM('[8]18'!G21:H21)</f>
        <v>6100</v>
      </c>
      <c r="H107" s="407">
        <f t="shared" si="14"/>
        <v>85.91549295774648</v>
      </c>
    </row>
    <row r="108" spans="1:9" ht="14.25" customHeight="1" x14ac:dyDescent="0.2">
      <c r="A108" s="410"/>
      <c r="B108" s="404" t="s">
        <v>287</v>
      </c>
      <c r="C108" s="404">
        <v>584</v>
      </c>
      <c r="D108" s="498"/>
      <c r="E108" s="406">
        <v>1000</v>
      </c>
      <c r="F108" s="406">
        <v>1000</v>
      </c>
      <c r="G108" s="406"/>
      <c r="H108" s="407">
        <f t="shared" si="14"/>
        <v>0</v>
      </c>
    </row>
    <row r="109" spans="1:9" ht="14.25" customHeight="1" x14ac:dyDescent="0.2">
      <c r="A109" s="550"/>
      <c r="B109" s="412" t="s">
        <v>288</v>
      </c>
      <c r="C109" s="412">
        <v>685</v>
      </c>
      <c r="D109" s="502"/>
      <c r="E109" s="414"/>
      <c r="F109" s="414">
        <v>10000</v>
      </c>
      <c r="G109" s="414"/>
      <c r="H109" s="415"/>
    </row>
    <row r="110" spans="1:9" ht="15" customHeight="1" x14ac:dyDescent="0.2">
      <c r="A110" s="410" t="s">
        <v>191</v>
      </c>
      <c r="B110" s="395" t="s">
        <v>289</v>
      </c>
      <c r="C110" s="497"/>
      <c r="D110" s="498"/>
      <c r="E110" s="491">
        <f>SUM(E111:E113)</f>
        <v>14000</v>
      </c>
      <c r="F110" s="491">
        <f>SUM(F111:F113)</f>
        <v>13728</v>
      </c>
      <c r="G110" s="491">
        <f>SUM(G111:G112)</f>
        <v>8000</v>
      </c>
      <c r="H110" s="492">
        <f>G110/E110*100</f>
        <v>57.142857142857139</v>
      </c>
    </row>
    <row r="111" spans="1:9" s="432" customFormat="1" ht="42" customHeight="1" x14ac:dyDescent="0.2">
      <c r="A111" s="551" t="s">
        <v>193</v>
      </c>
      <c r="B111" s="431" t="s">
        <v>290</v>
      </c>
      <c r="C111" s="404">
        <v>415</v>
      </c>
      <c r="D111" s="417"/>
      <c r="E111" s="406">
        <v>9500</v>
      </c>
      <c r="F111" s="406">
        <v>9706</v>
      </c>
      <c r="G111" s="406">
        <f>SUM('[8]18'!G36:H36)</f>
        <v>5200</v>
      </c>
      <c r="H111" s="407">
        <f>G111/E111*100</f>
        <v>54.736842105263165</v>
      </c>
    </row>
    <row r="112" spans="1:9" s="432" customFormat="1" ht="26.25" customHeight="1" x14ac:dyDescent="0.2">
      <c r="A112" s="418"/>
      <c r="B112" s="431" t="s">
        <v>291</v>
      </c>
      <c r="C112" s="404">
        <v>416</v>
      </c>
      <c r="D112" s="417"/>
      <c r="E112" s="406">
        <v>4000</v>
      </c>
      <c r="F112" s="406">
        <v>3500</v>
      </c>
      <c r="G112" s="406">
        <f>SUM('[8]18'!G33:H33)</f>
        <v>2800</v>
      </c>
      <c r="H112" s="407">
        <f>G112/E112*100</f>
        <v>70</v>
      </c>
    </row>
    <row r="113" spans="1:14" s="432" customFormat="1" ht="26.25" customHeight="1" x14ac:dyDescent="0.2">
      <c r="A113" s="418"/>
      <c r="B113" s="431" t="s">
        <v>292</v>
      </c>
      <c r="C113" s="404">
        <v>417</v>
      </c>
      <c r="D113" s="417"/>
      <c r="E113" s="406">
        <v>500</v>
      </c>
      <c r="F113" s="406">
        <v>522</v>
      </c>
      <c r="G113" s="406"/>
      <c r="H113" s="407"/>
    </row>
    <row r="114" spans="1:14" ht="27.75" customHeight="1" x14ac:dyDescent="0.2">
      <c r="A114" s="552" t="s">
        <v>191</v>
      </c>
      <c r="B114" s="458" t="s">
        <v>293</v>
      </c>
      <c r="C114" s="428"/>
      <c r="D114" s="429"/>
      <c r="E114" s="398">
        <f>SUM(E115:E116)</f>
        <v>4000</v>
      </c>
      <c r="F114" s="398">
        <f t="shared" ref="F114:G114" si="23">SUM(F115:F116)</f>
        <v>3603</v>
      </c>
      <c r="G114" s="398">
        <f t="shared" si="23"/>
        <v>3500</v>
      </c>
      <c r="H114" s="399">
        <f>G114/E114*100</f>
        <v>87.5</v>
      </c>
      <c r="I114" s="425"/>
      <c r="J114" s="425"/>
      <c r="K114" s="425"/>
    </row>
    <row r="115" spans="1:14" s="432" customFormat="1" ht="28.5" customHeight="1" x14ac:dyDescent="0.2">
      <c r="A115" s="418"/>
      <c r="B115" s="404" t="s">
        <v>294</v>
      </c>
      <c r="C115" s="417">
        <v>425</v>
      </c>
      <c r="D115" s="417"/>
      <c r="E115" s="406">
        <v>2200</v>
      </c>
      <c r="F115" s="406">
        <v>1803</v>
      </c>
      <c r="G115" s="406">
        <f>SUM('[8]18'!G44:H44)</f>
        <v>2000</v>
      </c>
      <c r="H115" s="407">
        <f>G115/E115*100</f>
        <v>90.909090909090907</v>
      </c>
    </row>
    <row r="116" spans="1:14" s="432" customFormat="1" ht="29.25" customHeight="1" thickBot="1" x14ac:dyDescent="0.25">
      <c r="A116" s="437"/>
      <c r="B116" s="438" t="s">
        <v>295</v>
      </c>
      <c r="C116" s="439">
        <v>426</v>
      </c>
      <c r="D116" s="439"/>
      <c r="E116" s="440">
        <v>1800</v>
      </c>
      <c r="F116" s="440">
        <v>1800</v>
      </c>
      <c r="G116" s="440">
        <f>SUM('[8]18'!G45:H45)</f>
        <v>1500</v>
      </c>
      <c r="H116" s="407">
        <f>G116/E116*100</f>
        <v>83.333333333333343</v>
      </c>
    </row>
    <row r="117" spans="1:14" s="556" customFormat="1" ht="24" customHeight="1" thickBot="1" x14ac:dyDescent="0.3">
      <c r="A117" s="553" t="s">
        <v>296</v>
      </c>
      <c r="B117" s="554"/>
      <c r="C117" s="554"/>
      <c r="D117" s="554"/>
      <c r="E117" s="548">
        <f>SUM(E6,E19,E30,E38,E47,E51,E83,E102)</f>
        <v>534790</v>
      </c>
      <c r="F117" s="548">
        <f>SUM(F6,F19,F30,F38,F47,F51,F83,F102)</f>
        <v>572927</v>
      </c>
      <c r="G117" s="548">
        <f>SUM(G6,G19,G30,G38,G47,G51,G83,G102)</f>
        <v>358171</v>
      </c>
      <c r="H117" s="549">
        <f>G117/E117*100</f>
        <v>66.97413938181343</v>
      </c>
      <c r="I117" s="555"/>
    </row>
    <row r="118" spans="1:14" ht="15" thickBot="1" x14ac:dyDescent="0.25">
      <c r="A118" s="557"/>
      <c r="B118" s="557"/>
      <c r="C118" s="557"/>
      <c r="D118" s="557"/>
      <c r="E118" s="557"/>
      <c r="F118" s="558"/>
      <c r="G118" s="558"/>
      <c r="H118" s="559"/>
    </row>
    <row r="119" spans="1:14" s="344" customFormat="1" ht="18" customHeight="1" x14ac:dyDescent="0.25">
      <c r="A119" s="560" t="s">
        <v>297</v>
      </c>
      <c r="B119" s="561"/>
      <c r="C119" s="562"/>
      <c r="D119" s="563"/>
      <c r="E119" s="563">
        <f>SUM(E120)</f>
        <v>96125</v>
      </c>
      <c r="F119" s="563">
        <f>SUM(F120,F121)</f>
        <v>138322</v>
      </c>
      <c r="G119" s="563">
        <f t="shared" ref="G119" si="24">SUM(G120)</f>
        <v>81336</v>
      </c>
      <c r="H119" s="564">
        <f>G119/E119*100</f>
        <v>84.6148244473342</v>
      </c>
      <c r="I119" s="348"/>
      <c r="J119" s="348"/>
      <c r="K119" s="348"/>
      <c r="L119" s="348"/>
      <c r="M119" s="348"/>
      <c r="N119" s="348"/>
    </row>
    <row r="120" spans="1:14" s="70" customFormat="1" ht="18" customHeight="1" x14ac:dyDescent="0.2">
      <c r="A120" s="565" t="s">
        <v>191</v>
      </c>
      <c r="B120" s="566" t="s">
        <v>298</v>
      </c>
      <c r="C120" s="567">
        <v>401</v>
      </c>
      <c r="D120" s="568"/>
      <c r="E120" s="455">
        <f>SUM('[8]07 - ID'!D11)</f>
        <v>96125</v>
      </c>
      <c r="F120" s="455">
        <f>SUM('[8]07 - ID'!E11)</f>
        <v>128322</v>
      </c>
      <c r="G120" s="455">
        <f>SUM('[8]07 - ID'!F11)</f>
        <v>81336</v>
      </c>
      <c r="H120" s="569">
        <f>G120/E120*100</f>
        <v>84.6148244473342</v>
      </c>
      <c r="I120" s="570"/>
      <c r="J120" s="570"/>
      <c r="K120" s="570"/>
    </row>
    <row r="121" spans="1:14" s="425" customFormat="1" ht="15" thickBot="1" x14ac:dyDescent="0.25">
      <c r="A121" s="571" t="s">
        <v>191</v>
      </c>
      <c r="B121" s="476" t="s">
        <v>299</v>
      </c>
      <c r="C121" s="572">
        <v>410</v>
      </c>
      <c r="D121" s="475"/>
      <c r="E121" s="573"/>
      <c r="F121" s="477">
        <f>SUM(F122)</f>
        <v>10000</v>
      </c>
      <c r="G121" s="477">
        <f>SUM(G122)</f>
        <v>0</v>
      </c>
      <c r="H121" s="574"/>
    </row>
    <row r="122" spans="1:14" s="425" customFormat="1" ht="15" hidden="1" thickBot="1" x14ac:dyDescent="0.25">
      <c r="A122" s="575"/>
      <c r="B122" s="475" t="s">
        <v>300</v>
      </c>
      <c r="C122" s="576"/>
      <c r="D122" s="577"/>
      <c r="E122" s="578"/>
      <c r="F122" s="578">
        <v>10000</v>
      </c>
      <c r="G122" s="440"/>
      <c r="H122" s="579"/>
    </row>
    <row r="123" spans="1:14" s="556" customFormat="1" ht="24" customHeight="1" thickBot="1" x14ac:dyDescent="0.3">
      <c r="A123" s="580" t="s">
        <v>296</v>
      </c>
      <c r="B123" s="581"/>
      <c r="C123" s="581"/>
      <c r="D123" s="581"/>
      <c r="E123" s="548">
        <f>SUM(E119)</f>
        <v>96125</v>
      </c>
      <c r="F123" s="548">
        <f>SUM(F119)</f>
        <v>138322</v>
      </c>
      <c r="G123" s="548">
        <f>SUM(G119)</f>
        <v>81336</v>
      </c>
      <c r="H123" s="582">
        <f>G123/E123*100</f>
        <v>84.6148244473342</v>
      </c>
    </row>
    <row r="124" spans="1:14" ht="15.75" customHeight="1" thickBot="1" x14ac:dyDescent="0.25">
      <c r="A124" s="393"/>
      <c r="B124" s="393"/>
      <c r="C124" s="393"/>
      <c r="D124" s="393"/>
      <c r="E124" s="393"/>
      <c r="F124" s="583"/>
      <c r="G124" s="583"/>
      <c r="H124" s="584"/>
    </row>
    <row r="125" spans="1:14" s="556" customFormat="1" ht="24" customHeight="1" thickBot="1" x14ac:dyDescent="0.3">
      <c r="A125" s="580" t="s">
        <v>296</v>
      </c>
      <c r="B125" s="581"/>
      <c r="C125" s="581"/>
      <c r="D125" s="581"/>
      <c r="E125" s="548">
        <f>SUM(E117,E123)</f>
        <v>630915</v>
      </c>
      <c r="F125" s="548">
        <f>SUM(F117,F123)</f>
        <v>711249</v>
      </c>
      <c r="G125" s="548">
        <f>SUM(G117,G123)</f>
        <v>439507</v>
      </c>
      <c r="H125" s="582">
        <f>G125/E125*100</f>
        <v>69.661840342993912</v>
      </c>
    </row>
    <row r="126" spans="1:14" x14ac:dyDescent="0.2">
      <c r="G126" s="585"/>
    </row>
  </sheetData>
  <mergeCells count="1">
    <mergeCell ref="A5:B5"/>
  </mergeCells>
  <pageMargins left="0.70866141732283472" right="0.70866141732283472" top="0.78740157480314965" bottom="0.78740157480314965" header="0.31496062992125984" footer="0.31496062992125984"/>
  <pageSetup paperSize="9" scale="56" firstPageNumber="11" orientation="portrait" useFirstPageNumber="1" r:id="rId1"/>
  <headerFooter>
    <oddFooter>&amp;L&amp;"-,Kurzíva"Zastupitelstvo Olomouckého kraje 21-12-2020
11. - Rozpočet Olomouckého kraje 2021 - návrh rozpočtu
Příloha č. 1: Návrh rozpočtu OK na rok 2021 (bilance) - zkrácená verze&amp;R&amp;"-,Kurzíva"Strana &amp;P (Celkem 150)</oddFooter>
  </headerFooter>
  <rowBreaks count="2" manualBreakCount="2">
    <brk id="62" max="7" man="1"/>
    <brk id="118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8"/>
  <sheetViews>
    <sheetView showGridLines="0" view="pageBreakPreview" topLeftCell="B66" zoomScaleNormal="90" zoomScaleSheetLayoutView="100" workbookViewId="0">
      <selection activeCell="M65" sqref="M65"/>
    </sheetView>
  </sheetViews>
  <sheetFormatPr defaultColWidth="9.140625" defaultRowHeight="12.75" x14ac:dyDescent="0.2"/>
  <cols>
    <col min="1" max="1" width="3.140625" style="588" hidden="1" customWidth="1"/>
    <col min="2" max="2" width="64.7109375" style="588" customWidth="1"/>
    <col min="3" max="3" width="7.85546875" style="589" customWidth="1"/>
    <col min="4" max="4" width="15.7109375" style="589" hidden="1" customWidth="1"/>
    <col min="5" max="6" width="20.7109375" style="588" customWidth="1"/>
    <col min="7" max="7" width="33.140625" style="588" hidden="1" customWidth="1"/>
    <col min="8" max="10" width="20.7109375" style="328" customWidth="1"/>
    <col min="11" max="11" width="12.7109375" style="328" hidden="1" customWidth="1"/>
    <col min="12" max="13" width="2.85546875" style="588" customWidth="1"/>
    <col min="14" max="16384" width="9.140625" style="588"/>
  </cols>
  <sheetData>
    <row r="1" spans="1:11" hidden="1" x14ac:dyDescent="0.2"/>
    <row r="2" spans="1:11" ht="20.25" x14ac:dyDescent="0.3">
      <c r="B2" s="590" t="s">
        <v>363</v>
      </c>
      <c r="C2" s="591"/>
      <c r="D2" s="591"/>
      <c r="E2" s="590"/>
      <c r="F2" s="592"/>
      <c r="G2" s="592"/>
      <c r="H2" s="593"/>
      <c r="I2" s="594"/>
      <c r="J2" s="595" t="s">
        <v>303</v>
      </c>
      <c r="K2" s="595"/>
    </row>
    <row r="3" spans="1:11" ht="15.75" x14ac:dyDescent="0.25">
      <c r="B3" s="596" t="s">
        <v>364</v>
      </c>
      <c r="C3" s="591"/>
      <c r="D3" s="591"/>
      <c r="E3" s="596"/>
      <c r="F3" s="592"/>
      <c r="G3" s="592"/>
      <c r="H3" s="597"/>
      <c r="I3" s="594"/>
      <c r="J3" s="598"/>
      <c r="K3" s="598"/>
    </row>
    <row r="4" spans="1:11" ht="13.5" thickBot="1" x14ac:dyDescent="0.25">
      <c r="F4" s="592"/>
      <c r="G4" s="592"/>
      <c r="H4" s="599"/>
      <c r="I4" s="1080" t="s">
        <v>0</v>
      </c>
      <c r="J4" s="1080"/>
      <c r="K4" s="599"/>
    </row>
    <row r="5" spans="1:11" ht="26.1" customHeight="1" x14ac:dyDescent="0.25">
      <c r="B5" s="600"/>
      <c r="C5" s="601"/>
      <c r="D5" s="602">
        <v>2015</v>
      </c>
      <c r="E5" s="1059">
        <v>2020</v>
      </c>
      <c r="F5" s="1060"/>
      <c r="G5" s="1061"/>
      <c r="H5" s="603">
        <v>2021</v>
      </c>
      <c r="I5" s="1059" t="s">
        <v>304</v>
      </c>
      <c r="J5" s="1062"/>
    </row>
    <row r="6" spans="1:11" ht="12.75" customHeight="1" x14ac:dyDescent="0.2">
      <c r="B6" s="1063" t="s">
        <v>305</v>
      </c>
      <c r="C6" s="1081" t="s">
        <v>190</v>
      </c>
      <c r="D6" s="1067" t="s">
        <v>306</v>
      </c>
      <c r="E6" s="1069" t="s">
        <v>307</v>
      </c>
      <c r="F6" s="1071" t="s">
        <v>308</v>
      </c>
      <c r="G6" s="1073" t="s">
        <v>309</v>
      </c>
      <c r="H6" s="1075" t="s">
        <v>310</v>
      </c>
      <c r="I6" s="1083" t="s">
        <v>311</v>
      </c>
      <c r="J6" s="1078" t="s">
        <v>312</v>
      </c>
    </row>
    <row r="7" spans="1:11" ht="34.5" customHeight="1" thickBot="1" x14ac:dyDescent="0.25">
      <c r="B7" s="1064"/>
      <c r="C7" s="1082"/>
      <c r="D7" s="1068"/>
      <c r="E7" s="1070"/>
      <c r="F7" s="1072"/>
      <c r="G7" s="1074"/>
      <c r="H7" s="1068"/>
      <c r="I7" s="1084"/>
      <c r="J7" s="1079"/>
    </row>
    <row r="8" spans="1:11" ht="14.25" thickTop="1" thickBot="1" x14ac:dyDescent="0.25">
      <c r="B8" s="604"/>
      <c r="C8" s="605"/>
      <c r="D8" s="606" t="s">
        <v>313</v>
      </c>
      <c r="E8" s="607" t="s">
        <v>313</v>
      </c>
      <c r="F8" s="608" t="s">
        <v>314</v>
      </c>
      <c r="G8" s="609" t="s">
        <v>315</v>
      </c>
      <c r="H8" s="606" t="s">
        <v>316</v>
      </c>
      <c r="I8" s="610" t="s">
        <v>317</v>
      </c>
      <c r="J8" s="611" t="s">
        <v>318</v>
      </c>
      <c r="K8" s="588"/>
    </row>
    <row r="9" spans="1:11" ht="24.95" customHeight="1" x14ac:dyDescent="0.2">
      <c r="A9" s="612"/>
      <c r="B9" s="613" t="s">
        <v>319</v>
      </c>
      <c r="C9" s="614"/>
      <c r="D9" s="615">
        <f>SUM(D10:D14)</f>
        <v>352137</v>
      </c>
      <c r="E9" s="615">
        <f>SUM(E10:E14)</f>
        <v>394250</v>
      </c>
      <c r="F9" s="616">
        <f>SUM(F10:F14)</f>
        <v>389157</v>
      </c>
      <c r="G9" s="617">
        <f>SUM(G10:G14)</f>
        <v>363748</v>
      </c>
      <c r="H9" s="618">
        <f>SUM(H10:H14)</f>
        <v>389741</v>
      </c>
      <c r="I9" s="619">
        <f t="shared" ref="I9:I18" si="0">H9-E9</f>
        <v>-4509</v>
      </c>
      <c r="J9" s="620">
        <f t="shared" ref="J9:J18" si="1">H9/E9-1</f>
        <v>-1.1436905516804097E-2</v>
      </c>
      <c r="K9" s="621"/>
    </row>
    <row r="10" spans="1:11" ht="17.100000000000001" customHeight="1" x14ac:dyDescent="0.2">
      <c r="A10" s="612"/>
      <c r="B10" s="622" t="s">
        <v>320</v>
      </c>
      <c r="C10" s="623" t="s">
        <v>321</v>
      </c>
      <c r="D10" s="624">
        <f>SUM('[10]Celkem školství'!C12)</f>
        <v>275519</v>
      </c>
      <c r="E10" s="624">
        <v>280639</v>
      </c>
      <c r="F10" s="625">
        <v>271897</v>
      </c>
      <c r="G10" s="626">
        <v>277306</v>
      </c>
      <c r="H10" s="627">
        <f>SUM('[10]Celkem školství'!F12)</f>
        <v>268741</v>
      </c>
      <c r="I10" s="628">
        <f>H10-E10</f>
        <v>-11898</v>
      </c>
      <c r="J10" s="629">
        <f>H10/E10-1</f>
        <v>-4.2396103178816924E-2</v>
      </c>
      <c r="K10" s="621"/>
    </row>
    <row r="11" spans="1:11" ht="17.100000000000001" customHeight="1" x14ac:dyDescent="0.2">
      <c r="A11" s="612"/>
      <c r="B11" s="622" t="s">
        <v>322</v>
      </c>
      <c r="C11" s="623" t="s">
        <v>323</v>
      </c>
      <c r="D11" s="624">
        <f>SUM('[10]Celkem školství'!C13)</f>
        <v>1399</v>
      </c>
      <c r="E11" s="624">
        <v>1197</v>
      </c>
      <c r="F11" s="625">
        <v>1412</v>
      </c>
      <c r="G11" s="626">
        <v>1873</v>
      </c>
      <c r="H11" s="627">
        <f>SUM('[10]Celkem školství'!F13)</f>
        <v>1287</v>
      </c>
      <c r="I11" s="628">
        <f t="shared" si="0"/>
        <v>90</v>
      </c>
      <c r="J11" s="629">
        <f t="shared" si="1"/>
        <v>7.5187969924812137E-2</v>
      </c>
      <c r="K11" s="621"/>
    </row>
    <row r="12" spans="1:11" ht="17.100000000000001" customHeight="1" x14ac:dyDescent="0.2">
      <c r="A12" s="612"/>
      <c r="B12" s="622" t="s">
        <v>324</v>
      </c>
      <c r="C12" s="623" t="s">
        <v>325</v>
      </c>
      <c r="D12" s="624">
        <f>SUM('[10]Celkem školství'!C14)</f>
        <v>74889</v>
      </c>
      <c r="E12" s="624">
        <v>112262</v>
      </c>
      <c r="F12" s="625">
        <v>112262</v>
      </c>
      <c r="G12" s="626">
        <v>80875</v>
      </c>
      <c r="H12" s="627">
        <f>SUM('[10]Celkem školství'!F14)</f>
        <v>119613</v>
      </c>
      <c r="I12" s="628">
        <f>H12-E12</f>
        <v>7351</v>
      </c>
      <c r="J12" s="629">
        <f t="shared" si="1"/>
        <v>6.5480750387486353E-2</v>
      </c>
      <c r="K12" s="621"/>
    </row>
    <row r="13" spans="1:11" ht="17.100000000000001" customHeight="1" x14ac:dyDescent="0.2">
      <c r="A13" s="612"/>
      <c r="B13" s="630" t="s">
        <v>326</v>
      </c>
      <c r="C13" s="631" t="s">
        <v>327</v>
      </c>
      <c r="D13" s="624">
        <f>SUM('[10]Celkem školství'!C15)</f>
        <v>222</v>
      </c>
      <c r="E13" s="624">
        <v>0</v>
      </c>
      <c r="F13" s="625">
        <v>3491</v>
      </c>
      <c r="G13" s="626">
        <v>3555</v>
      </c>
      <c r="H13" s="627">
        <f>SUM('[10]Celkem školství'!F15)</f>
        <v>100</v>
      </c>
      <c r="I13" s="628">
        <f>H13-E13</f>
        <v>100</v>
      </c>
      <c r="J13" s="629"/>
      <c r="K13" s="621"/>
    </row>
    <row r="14" spans="1:11" ht="17.100000000000001" customHeight="1" thickBot="1" x14ac:dyDescent="0.25">
      <c r="A14" s="612"/>
      <c r="B14" s="622" t="s">
        <v>328</v>
      </c>
      <c r="C14" s="623" t="s">
        <v>329</v>
      </c>
      <c r="D14" s="624">
        <f>SUM('[10]Celkem školství'!C16)</f>
        <v>108</v>
      </c>
      <c r="E14" s="624">
        <v>152</v>
      </c>
      <c r="F14" s="632">
        <v>95</v>
      </c>
      <c r="G14" s="626">
        <v>139</v>
      </c>
      <c r="H14" s="627">
        <f>SUM('[10]Celkem školství'!F16)</f>
        <v>0</v>
      </c>
      <c r="I14" s="628">
        <f>H14-E14</f>
        <v>-152</v>
      </c>
      <c r="J14" s="629">
        <f t="shared" si="1"/>
        <v>-1</v>
      </c>
      <c r="K14" s="621"/>
    </row>
    <row r="15" spans="1:11" ht="24.95" customHeight="1" x14ac:dyDescent="0.2">
      <c r="A15" s="612"/>
      <c r="B15" s="613" t="s">
        <v>330</v>
      </c>
      <c r="C15" s="614"/>
      <c r="D15" s="615">
        <f>SUM(D16:D18)</f>
        <v>207267</v>
      </c>
      <c r="E15" s="615">
        <f>SUM(E16:E19)</f>
        <v>350983</v>
      </c>
      <c r="F15" s="616">
        <f>SUM(F16:F19)</f>
        <v>378176</v>
      </c>
      <c r="G15" s="617">
        <f>SUM(G16:G18)</f>
        <v>301413</v>
      </c>
      <c r="H15" s="618">
        <f>SUM(H16:H19)</f>
        <v>371213</v>
      </c>
      <c r="I15" s="619">
        <f t="shared" si="0"/>
        <v>20230</v>
      </c>
      <c r="J15" s="620">
        <f t="shared" si="1"/>
        <v>5.763811922514761E-2</v>
      </c>
      <c r="K15" s="621"/>
    </row>
    <row r="16" spans="1:11" ht="17.100000000000001" customHeight="1" x14ac:dyDescent="0.2">
      <c r="A16" s="612"/>
      <c r="B16" s="622" t="s">
        <v>320</v>
      </c>
      <c r="C16" s="623" t="s">
        <v>321</v>
      </c>
      <c r="D16" s="624">
        <f>SUM('[10]Celkem sociální'!C12)</f>
        <v>156471</v>
      </c>
      <c r="E16" s="624">
        <v>36735</v>
      </c>
      <c r="F16" s="625">
        <v>31366</v>
      </c>
      <c r="G16" s="626">
        <v>245205</v>
      </c>
      <c r="H16" s="627">
        <f>SUM('[10]Celkem sociální'!F12)</f>
        <v>26229</v>
      </c>
      <c r="I16" s="628">
        <f t="shared" si="0"/>
        <v>-10506</v>
      </c>
      <c r="J16" s="629">
        <f t="shared" si="1"/>
        <v>-0.28599428338097177</v>
      </c>
      <c r="K16" s="621"/>
    </row>
    <row r="17" spans="1:11" ht="17.100000000000001" customHeight="1" x14ac:dyDescent="0.2">
      <c r="A17" s="612"/>
      <c r="B17" s="630" t="s">
        <v>322</v>
      </c>
      <c r="C17" s="631" t="s">
        <v>323</v>
      </c>
      <c r="D17" s="624">
        <f>SUM('[10]Celkem sociální'!C13)</f>
        <v>0</v>
      </c>
      <c r="E17" s="624">
        <v>257798</v>
      </c>
      <c r="F17" s="625">
        <v>288480</v>
      </c>
      <c r="G17" s="626">
        <v>1500</v>
      </c>
      <c r="H17" s="627">
        <f>'[10]Celkem sociální'!F13</f>
        <v>287970</v>
      </c>
      <c r="I17" s="628">
        <f t="shared" si="0"/>
        <v>30172</v>
      </c>
      <c r="J17" s="629">
        <f t="shared" si="1"/>
        <v>0.1170373703442229</v>
      </c>
      <c r="K17" s="621"/>
    </row>
    <row r="18" spans="1:11" ht="14.25" x14ac:dyDescent="0.2">
      <c r="A18" s="612"/>
      <c r="B18" s="622" t="s">
        <v>324</v>
      </c>
      <c r="C18" s="623" t="s">
        <v>325</v>
      </c>
      <c r="D18" s="624">
        <f>SUM('[10]Celkem sociální'!C14)</f>
        <v>50796</v>
      </c>
      <c r="E18" s="624">
        <v>56450</v>
      </c>
      <c r="F18" s="625">
        <v>56450</v>
      </c>
      <c r="G18" s="626">
        <v>54708</v>
      </c>
      <c r="H18" s="627">
        <f>SUM('[10]Celkem sociální'!F14)</f>
        <v>57014</v>
      </c>
      <c r="I18" s="628">
        <f t="shared" si="0"/>
        <v>564</v>
      </c>
      <c r="J18" s="629">
        <f t="shared" si="1"/>
        <v>9.99114260407441E-3</v>
      </c>
      <c r="K18" s="621"/>
    </row>
    <row r="19" spans="1:11" ht="15" thickBot="1" x14ac:dyDescent="0.25">
      <c r="A19" s="612"/>
      <c r="B19" s="630" t="s">
        <v>326</v>
      </c>
      <c r="C19" s="631" t="s">
        <v>327</v>
      </c>
      <c r="D19" s="633"/>
      <c r="E19" s="624">
        <v>0</v>
      </c>
      <c r="F19" s="625">
        <v>1880</v>
      </c>
      <c r="G19" s="626"/>
      <c r="H19" s="627">
        <f>'[10]Celkem sociální'!F15</f>
        <v>0</v>
      </c>
      <c r="I19" s="628"/>
      <c r="J19" s="629"/>
      <c r="K19" s="621"/>
    </row>
    <row r="20" spans="1:11" s="635" customFormat="1" ht="21" customHeight="1" x14ac:dyDescent="0.2">
      <c r="A20" s="634"/>
      <c r="B20" s="613" t="s">
        <v>331</v>
      </c>
      <c r="C20" s="614"/>
      <c r="D20" s="615">
        <f>SUM(D21,D26)</f>
        <v>1380654</v>
      </c>
      <c r="E20" s="615">
        <f>SUM(E21,E26)</f>
        <v>2109907</v>
      </c>
      <c r="F20" s="616">
        <f>SUM(F21,F26)</f>
        <v>2138787</v>
      </c>
      <c r="G20" s="617">
        <f>G21+G26</f>
        <v>1566396</v>
      </c>
      <c r="H20" s="618">
        <f>SUM(H21,H26)</f>
        <v>2147397</v>
      </c>
      <c r="I20" s="619">
        <f t="shared" ref="I20:I32" si="2">H20-E20</f>
        <v>37490</v>
      </c>
      <c r="J20" s="620">
        <f t="shared" ref="J20:J29" si="3">H20/E20-1</f>
        <v>1.7768555675676589E-2</v>
      </c>
      <c r="K20" s="621"/>
    </row>
    <row r="21" spans="1:11" s="635" customFormat="1" ht="18" customHeight="1" x14ac:dyDescent="0.25">
      <c r="A21" s="634"/>
      <c r="B21" s="636" t="s">
        <v>332</v>
      </c>
      <c r="C21" s="623"/>
      <c r="D21" s="637">
        <f>SUM(D22:D25)</f>
        <v>495854</v>
      </c>
      <c r="E21" s="637">
        <f>SUM(E22:E25)</f>
        <v>669707</v>
      </c>
      <c r="F21" s="638">
        <f>SUM(F22:F25)</f>
        <v>687243</v>
      </c>
      <c r="G21" s="639">
        <f>SUM(G22:G25)</f>
        <v>565756</v>
      </c>
      <c r="H21" s="640">
        <f>SUM(H22:H25)</f>
        <v>685105</v>
      </c>
      <c r="I21" s="641">
        <f t="shared" si="2"/>
        <v>15398</v>
      </c>
      <c r="J21" s="642">
        <f t="shared" si="3"/>
        <v>2.29921443258021E-2</v>
      </c>
      <c r="K21" s="621"/>
    </row>
    <row r="22" spans="1:11" s="635" customFormat="1" ht="17.100000000000001" customHeight="1" x14ac:dyDescent="0.2">
      <c r="A22" s="634"/>
      <c r="B22" s="622" t="s">
        <v>320</v>
      </c>
      <c r="C22" s="623" t="s">
        <v>321</v>
      </c>
      <c r="D22" s="624">
        <f>SUM('[10]Celkem doprava'!C12)</f>
        <v>362358</v>
      </c>
      <c r="E22" s="624">
        <v>258758</v>
      </c>
      <c r="F22" s="625">
        <v>258758</v>
      </c>
      <c r="G22" s="626">
        <v>398501</v>
      </c>
      <c r="H22" s="627">
        <f>SUM('[10]Celkem doprava'!F12)</f>
        <v>253573</v>
      </c>
      <c r="I22" s="628">
        <f>H22-E22</f>
        <v>-5185</v>
      </c>
      <c r="J22" s="629">
        <f t="shared" si="3"/>
        <v>-2.0038027809768155E-2</v>
      </c>
      <c r="K22" s="621"/>
    </row>
    <row r="23" spans="1:11" s="635" customFormat="1" ht="17.100000000000001" customHeight="1" x14ac:dyDescent="0.2">
      <c r="A23" s="634"/>
      <c r="B23" s="622" t="s">
        <v>322</v>
      </c>
      <c r="C23" s="623" t="s">
        <v>323</v>
      </c>
      <c r="D23" s="624">
        <f>SUM('[10]Celkem doprava'!C13)</f>
        <v>6240</v>
      </c>
      <c r="E23" s="624">
        <v>222662</v>
      </c>
      <c r="F23" s="625">
        <v>239398</v>
      </c>
      <c r="G23" s="626">
        <v>8112</v>
      </c>
      <c r="H23" s="627">
        <f>SUM('[10]Celkem doprava'!F13)</f>
        <v>238903</v>
      </c>
      <c r="I23" s="628">
        <f t="shared" si="2"/>
        <v>16241</v>
      </c>
      <c r="J23" s="629">
        <f t="shared" si="3"/>
        <v>7.2940151440299639E-2</v>
      </c>
      <c r="K23" s="621"/>
    </row>
    <row r="24" spans="1:11" s="635" customFormat="1" ht="17.100000000000001" customHeight="1" x14ac:dyDescent="0.2">
      <c r="A24" s="634"/>
      <c r="B24" s="622" t="s">
        <v>324</v>
      </c>
      <c r="C24" s="623" t="s">
        <v>325</v>
      </c>
      <c r="D24" s="624">
        <f>SUM('[10]Celkem doprava'!C14)</f>
        <v>127256</v>
      </c>
      <c r="E24" s="624">
        <v>188287</v>
      </c>
      <c r="F24" s="625">
        <v>188287</v>
      </c>
      <c r="G24" s="626">
        <v>151452</v>
      </c>
      <c r="H24" s="627">
        <f>SUM('[10]Celkem doprava'!F14)</f>
        <v>192629</v>
      </c>
      <c r="I24" s="628">
        <f t="shared" si="2"/>
        <v>4342</v>
      </c>
      <c r="J24" s="629">
        <f t="shared" si="3"/>
        <v>2.3060540557765519E-2</v>
      </c>
      <c r="K24" s="621"/>
    </row>
    <row r="25" spans="1:11" s="635" customFormat="1" ht="17.100000000000001" customHeight="1" x14ac:dyDescent="0.2">
      <c r="A25" s="634"/>
      <c r="B25" s="630" t="s">
        <v>326</v>
      </c>
      <c r="C25" s="631" t="s">
        <v>327</v>
      </c>
      <c r="D25" s="624">
        <f>SUM('[10]Celkem doprava'!C15)</f>
        <v>0</v>
      </c>
      <c r="E25" s="624">
        <v>0</v>
      </c>
      <c r="F25" s="625">
        <v>800</v>
      </c>
      <c r="G25" s="626">
        <v>7691</v>
      </c>
      <c r="H25" s="627">
        <f>SUM('[10]Celkem doprava'!F15)</f>
        <v>0</v>
      </c>
      <c r="I25" s="628"/>
      <c r="J25" s="629"/>
      <c r="K25" s="621"/>
    </row>
    <row r="26" spans="1:11" s="635" customFormat="1" ht="18" customHeight="1" x14ac:dyDescent="0.25">
      <c r="A26" s="634"/>
      <c r="B26" s="636" t="s">
        <v>333</v>
      </c>
      <c r="C26" s="631"/>
      <c r="D26" s="637">
        <f>SUM(D27:D30)</f>
        <v>884800</v>
      </c>
      <c r="E26" s="637">
        <f>SUM(E27:E32)</f>
        <v>1440200</v>
      </c>
      <c r="F26" s="638">
        <f t="shared" ref="F26:H26" si="4">SUM(F27:F32)</f>
        <v>1451544</v>
      </c>
      <c r="G26" s="639">
        <f t="shared" si="4"/>
        <v>1000640</v>
      </c>
      <c r="H26" s="640">
        <f t="shared" si="4"/>
        <v>1462292</v>
      </c>
      <c r="I26" s="641">
        <f t="shared" si="2"/>
        <v>22092</v>
      </c>
      <c r="J26" s="642">
        <f t="shared" si="3"/>
        <v>1.5339536175531077E-2</v>
      </c>
      <c r="K26" s="621"/>
    </row>
    <row r="27" spans="1:11" s="635" customFormat="1" ht="30.75" customHeight="1" x14ac:dyDescent="0.2">
      <c r="A27" s="634"/>
      <c r="B27" s="630" t="s">
        <v>334</v>
      </c>
      <c r="C27" s="643" t="s">
        <v>335</v>
      </c>
      <c r="D27" s="644">
        <f>SUM('[10]Celkem doprava'!C17)</f>
        <v>403776</v>
      </c>
      <c r="E27" s="644">
        <v>533000</v>
      </c>
      <c r="F27" s="645">
        <v>559027</v>
      </c>
      <c r="G27" s="646">
        <v>475650</v>
      </c>
      <c r="H27" s="647">
        <f>SUM('[10]Celkem doprava'!F17)</f>
        <v>540000</v>
      </c>
      <c r="I27" s="648">
        <f t="shared" si="2"/>
        <v>7000</v>
      </c>
      <c r="J27" s="649">
        <f t="shared" si="3"/>
        <v>1.3133208255159401E-2</v>
      </c>
      <c r="K27" s="621"/>
    </row>
    <row r="28" spans="1:11" s="635" customFormat="1" ht="30" customHeight="1" x14ac:dyDescent="0.2">
      <c r="A28" s="634"/>
      <c r="B28" s="630" t="s">
        <v>336</v>
      </c>
      <c r="C28" s="643" t="s">
        <v>337</v>
      </c>
      <c r="D28" s="644">
        <f>SUM('[10]Celkem doprava'!C18)</f>
        <v>440185</v>
      </c>
      <c r="E28" s="644">
        <v>680000</v>
      </c>
      <c r="F28" s="645">
        <v>660000</v>
      </c>
      <c r="G28" s="646">
        <v>462248</v>
      </c>
      <c r="H28" s="647">
        <f>SUM('[10]Celkem doprava'!F18)</f>
        <v>680000</v>
      </c>
      <c r="I28" s="648">
        <f>H28-E28</f>
        <v>0</v>
      </c>
      <c r="J28" s="649">
        <f t="shared" si="3"/>
        <v>0</v>
      </c>
      <c r="K28" s="621"/>
    </row>
    <row r="29" spans="1:11" s="635" customFormat="1" ht="16.5" customHeight="1" x14ac:dyDescent="0.2">
      <c r="A29" s="634"/>
      <c r="B29" s="630" t="s">
        <v>338</v>
      </c>
      <c r="C29" s="631" t="s">
        <v>71</v>
      </c>
      <c r="D29" s="624">
        <f>SUM('[10]Celkem doprava'!C19)</f>
        <v>3170</v>
      </c>
      <c r="E29" s="624">
        <v>15000</v>
      </c>
      <c r="F29" s="625">
        <v>15797</v>
      </c>
      <c r="G29" s="626">
        <v>25000</v>
      </c>
      <c r="H29" s="627">
        <f>SUM('[10]Celkem doprava'!F19)</f>
        <v>16000</v>
      </c>
      <c r="I29" s="628">
        <f t="shared" si="2"/>
        <v>1000</v>
      </c>
      <c r="J29" s="629">
        <f t="shared" si="3"/>
        <v>6.6666666666666652E-2</v>
      </c>
      <c r="K29" s="621"/>
    </row>
    <row r="30" spans="1:11" s="635" customFormat="1" ht="16.5" customHeight="1" x14ac:dyDescent="0.2">
      <c r="A30" s="634"/>
      <c r="B30" s="630" t="s">
        <v>339</v>
      </c>
      <c r="C30" s="650" t="s">
        <v>73</v>
      </c>
      <c r="D30" s="624">
        <f>SUM('[10]Celkem doprava'!C20)</f>
        <v>37669</v>
      </c>
      <c r="E30" s="624">
        <v>153500</v>
      </c>
      <c r="F30" s="625">
        <v>155228</v>
      </c>
      <c r="G30" s="626">
        <v>37742</v>
      </c>
      <c r="H30" s="627">
        <f>SUM('[10]Celkem doprava'!F20)</f>
        <v>164292</v>
      </c>
      <c r="I30" s="628">
        <f t="shared" si="2"/>
        <v>10792</v>
      </c>
      <c r="J30" s="629">
        <f>H30/E30-1</f>
        <v>7.0306188925081337E-2</v>
      </c>
      <c r="K30" s="621"/>
    </row>
    <row r="31" spans="1:11" s="635" customFormat="1" ht="16.5" customHeight="1" x14ac:dyDescent="0.2">
      <c r="A31" s="634"/>
      <c r="B31" s="630" t="s">
        <v>340</v>
      </c>
      <c r="C31" s="650" t="s">
        <v>75</v>
      </c>
      <c r="D31" s="624"/>
      <c r="E31" s="624">
        <v>26000</v>
      </c>
      <c r="F31" s="625">
        <v>27162</v>
      </c>
      <c r="G31" s="626"/>
      <c r="H31" s="627">
        <f>'[10]Celkem doprava'!F21</f>
        <v>27000</v>
      </c>
      <c r="I31" s="628">
        <f t="shared" si="2"/>
        <v>1000</v>
      </c>
      <c r="J31" s="629">
        <f>H31/E31-1</f>
        <v>3.8461538461538547E-2</v>
      </c>
      <c r="K31" s="621"/>
    </row>
    <row r="32" spans="1:11" s="635" customFormat="1" ht="16.5" customHeight="1" thickBot="1" x14ac:dyDescent="0.25">
      <c r="A32" s="634"/>
      <c r="B32" s="630" t="s">
        <v>341</v>
      </c>
      <c r="C32" s="650" t="s">
        <v>77</v>
      </c>
      <c r="D32" s="624"/>
      <c r="E32" s="624">
        <v>32700</v>
      </c>
      <c r="F32" s="625">
        <v>34330</v>
      </c>
      <c r="G32" s="626"/>
      <c r="H32" s="627">
        <f>'[10]Celkem doprava'!F22</f>
        <v>35000</v>
      </c>
      <c r="I32" s="628">
        <f t="shared" si="2"/>
        <v>2300</v>
      </c>
      <c r="J32" s="629">
        <f>H32/E32-1</f>
        <v>7.0336391437308965E-2</v>
      </c>
      <c r="K32" s="621"/>
    </row>
    <row r="33" spans="1:11" ht="24.95" customHeight="1" x14ac:dyDescent="0.2">
      <c r="A33" s="612"/>
      <c r="B33" s="613" t="s">
        <v>342</v>
      </c>
      <c r="C33" s="614"/>
      <c r="D33" s="615" t="e">
        <f>SUM(D35:D41)</f>
        <v>#REF!</v>
      </c>
      <c r="E33" s="615">
        <f>E34+E42</f>
        <v>176580</v>
      </c>
      <c r="F33" s="616">
        <f>F34+F42</f>
        <v>191125</v>
      </c>
      <c r="G33" s="617">
        <f>SUM(G35:G41)</f>
        <v>146550</v>
      </c>
      <c r="H33" s="618">
        <f>H34+H42</f>
        <v>186511</v>
      </c>
      <c r="I33" s="619">
        <f>H33-E33</f>
        <v>9931</v>
      </c>
      <c r="J33" s="620">
        <f t="shared" ref="J33:J40" si="5">H33/E33-1</f>
        <v>5.6240797372295814E-2</v>
      </c>
      <c r="K33" s="621"/>
    </row>
    <row r="34" spans="1:11" s="635" customFormat="1" ht="18" customHeight="1" x14ac:dyDescent="0.25">
      <c r="A34" s="634"/>
      <c r="B34" s="636" t="s">
        <v>332</v>
      </c>
      <c r="C34" s="623"/>
      <c r="D34" s="637"/>
      <c r="E34" s="637">
        <f>SUM(E35:E41)</f>
        <v>176015</v>
      </c>
      <c r="F34" s="638">
        <f>SUM(F35:F41)</f>
        <v>190560</v>
      </c>
      <c r="G34" s="639"/>
      <c r="H34" s="640">
        <f>SUM(H35:H41)</f>
        <v>185916</v>
      </c>
      <c r="I34" s="641">
        <f>H34-E34</f>
        <v>9901</v>
      </c>
      <c r="J34" s="642">
        <f t="shared" si="5"/>
        <v>5.6250887708434005E-2</v>
      </c>
      <c r="K34" s="621"/>
    </row>
    <row r="35" spans="1:11" ht="17.100000000000001" customHeight="1" x14ac:dyDescent="0.2">
      <c r="A35" s="612"/>
      <c r="B35" s="622" t="s">
        <v>320</v>
      </c>
      <c r="C35" s="623" t="s">
        <v>321</v>
      </c>
      <c r="D35" s="624">
        <f>SUM('[10]Celkem kultura '!C14)</f>
        <v>43002</v>
      </c>
      <c r="E35" s="624">
        <v>24185</v>
      </c>
      <c r="F35" s="625">
        <v>23310</v>
      </c>
      <c r="G35" s="626">
        <v>49617</v>
      </c>
      <c r="H35" s="627">
        <f>SUM('[10]Celkem kultura '!F14)</f>
        <v>21780</v>
      </c>
      <c r="I35" s="628">
        <f t="shared" ref="I35:I49" si="6">H35-E35</f>
        <v>-2405</v>
      </c>
      <c r="J35" s="629">
        <f t="shared" si="5"/>
        <v>-9.9441802770312226E-2</v>
      </c>
      <c r="K35" s="621"/>
    </row>
    <row r="36" spans="1:11" ht="17.100000000000001" customHeight="1" x14ac:dyDescent="0.2">
      <c r="A36" s="612"/>
      <c r="B36" s="622" t="s">
        <v>322</v>
      </c>
      <c r="C36" s="623" t="s">
        <v>323</v>
      </c>
      <c r="D36" s="624">
        <f>SUM('[10]Celkem kultura '!C15)</f>
        <v>66420</v>
      </c>
      <c r="E36" s="624">
        <v>132295</v>
      </c>
      <c r="F36" s="625">
        <v>144213</v>
      </c>
      <c r="G36" s="626">
        <v>76901</v>
      </c>
      <c r="H36" s="627">
        <f>SUM('[10]Celkem kultura '!F15)</f>
        <v>143717</v>
      </c>
      <c r="I36" s="628">
        <f t="shared" si="6"/>
        <v>11422</v>
      </c>
      <c r="J36" s="629">
        <f t="shared" si="5"/>
        <v>8.6337352129710165E-2</v>
      </c>
      <c r="K36" s="621"/>
    </row>
    <row r="37" spans="1:11" ht="17.100000000000001" customHeight="1" x14ac:dyDescent="0.2">
      <c r="A37" s="612"/>
      <c r="B37" s="622" t="s">
        <v>324</v>
      </c>
      <c r="C37" s="623" t="s">
        <v>325</v>
      </c>
      <c r="D37" s="624">
        <f>SUM('[10]Celkem kultura '!C16)</f>
        <v>18718</v>
      </c>
      <c r="E37" s="624">
        <v>17631</v>
      </c>
      <c r="F37" s="625">
        <v>17631</v>
      </c>
      <c r="G37" s="626">
        <v>16823</v>
      </c>
      <c r="H37" s="627">
        <f>SUM('[10]Celkem kultura '!F16)</f>
        <v>18407</v>
      </c>
      <c r="I37" s="628">
        <f t="shared" si="6"/>
        <v>776</v>
      </c>
      <c r="J37" s="629">
        <f t="shared" si="5"/>
        <v>4.4013385514151127E-2</v>
      </c>
      <c r="K37" s="621"/>
    </row>
    <row r="38" spans="1:11" ht="17.100000000000001" customHeight="1" x14ac:dyDescent="0.2">
      <c r="A38" s="612"/>
      <c r="B38" s="630" t="s">
        <v>326</v>
      </c>
      <c r="C38" s="631" t="s">
        <v>327</v>
      </c>
      <c r="D38" s="624">
        <f>SUM('[10]Celkem kultura '!C17)</f>
        <v>302</v>
      </c>
      <c r="E38" s="624">
        <v>0</v>
      </c>
      <c r="F38" s="625">
        <v>3502</v>
      </c>
      <c r="G38" s="626">
        <v>1350</v>
      </c>
      <c r="H38" s="627">
        <f>SUM('[10]Celkem kultura '!F17)</f>
        <v>0</v>
      </c>
      <c r="I38" s="628">
        <f>H38-E38</f>
        <v>0</v>
      </c>
      <c r="J38" s="629"/>
      <c r="K38" s="621"/>
    </row>
    <row r="39" spans="1:11" ht="17.100000000000001" customHeight="1" x14ac:dyDescent="0.2">
      <c r="A39" s="612"/>
      <c r="B39" s="622" t="s">
        <v>328</v>
      </c>
      <c r="C39" s="623" t="s">
        <v>329</v>
      </c>
      <c r="D39" s="624">
        <f>SUM('[10]Celkem kultura '!C18)</f>
        <v>1597</v>
      </c>
      <c r="E39" s="624">
        <v>1704</v>
      </c>
      <c r="F39" s="625">
        <v>1704</v>
      </c>
      <c r="G39" s="626">
        <v>1659</v>
      </c>
      <c r="H39" s="627">
        <f>SUM('[10]Celkem kultura '!F18)</f>
        <v>1812</v>
      </c>
      <c r="I39" s="628">
        <f t="shared" si="6"/>
        <v>108</v>
      </c>
      <c r="J39" s="629">
        <f t="shared" si="5"/>
        <v>6.3380281690140761E-2</v>
      </c>
      <c r="K39" s="621"/>
    </row>
    <row r="40" spans="1:11" ht="17.100000000000001" customHeight="1" x14ac:dyDescent="0.2">
      <c r="A40" s="612"/>
      <c r="B40" s="622" t="s">
        <v>343</v>
      </c>
      <c r="C40" s="623" t="s">
        <v>344</v>
      </c>
      <c r="D40" s="624">
        <f>SUM('[10]Celkem kultura '!C19)</f>
        <v>180</v>
      </c>
      <c r="E40" s="624">
        <f>SUM('[10]Celkem kultura '!D19)</f>
        <v>180</v>
      </c>
      <c r="F40" s="625">
        <v>180</v>
      </c>
      <c r="G40" s="626">
        <v>180</v>
      </c>
      <c r="H40" s="627">
        <f>SUM('[10]Celkem kultura '!F19)</f>
        <v>180</v>
      </c>
      <c r="I40" s="628">
        <f t="shared" si="6"/>
        <v>0</v>
      </c>
      <c r="J40" s="629">
        <f t="shared" si="5"/>
        <v>0</v>
      </c>
      <c r="K40" s="621"/>
    </row>
    <row r="41" spans="1:11" ht="15.95" customHeight="1" x14ac:dyDescent="0.2">
      <c r="A41" s="612"/>
      <c r="B41" s="651" t="s">
        <v>345</v>
      </c>
      <c r="C41" s="623" t="s">
        <v>344</v>
      </c>
      <c r="D41" s="624" t="e">
        <f>SUM('[10]Celkem kultura '!#REF!)</f>
        <v>#REF!</v>
      </c>
      <c r="E41" s="628">
        <f>'[10]Celkem kultura '!D20</f>
        <v>20</v>
      </c>
      <c r="F41" s="625">
        <v>20</v>
      </c>
      <c r="G41" s="626">
        <v>20</v>
      </c>
      <c r="H41" s="627">
        <f>'[10]Celkem kultura '!F20</f>
        <v>20</v>
      </c>
      <c r="I41" s="628">
        <f>H41-E41</f>
        <v>0</v>
      </c>
      <c r="J41" s="629">
        <f>H41/E41-1</f>
        <v>0</v>
      </c>
      <c r="K41" s="621"/>
    </row>
    <row r="42" spans="1:11" ht="15.95" customHeight="1" x14ac:dyDescent="0.25">
      <c r="A42" s="612"/>
      <c r="B42" s="636" t="s">
        <v>346</v>
      </c>
      <c r="C42" s="623"/>
      <c r="D42" s="637"/>
      <c r="E42" s="637">
        <f>E44</f>
        <v>565</v>
      </c>
      <c r="F42" s="638">
        <f>F44</f>
        <v>565</v>
      </c>
      <c r="G42" s="639"/>
      <c r="H42" s="640">
        <f>H44+H43</f>
        <v>595</v>
      </c>
      <c r="I42" s="641">
        <f>H42-E42</f>
        <v>30</v>
      </c>
      <c r="J42" s="642">
        <f t="shared" ref="J42:J44" si="7">H42/E42-1</f>
        <v>5.3097345132743445E-2</v>
      </c>
      <c r="K42" s="621"/>
    </row>
    <row r="43" spans="1:11" ht="15.95" hidden="1" customHeight="1" x14ac:dyDescent="0.2">
      <c r="A43" s="612"/>
      <c r="B43" s="622" t="s">
        <v>347</v>
      </c>
      <c r="C43" s="623" t="s">
        <v>327</v>
      </c>
      <c r="D43" s="624"/>
      <c r="E43" s="624"/>
      <c r="F43" s="625"/>
      <c r="G43" s="626"/>
      <c r="H43" s="627">
        <f>'[10]PO - kultura'!AL20</f>
        <v>0</v>
      </c>
      <c r="I43" s="628">
        <f>H43-E43</f>
        <v>0</v>
      </c>
      <c r="J43" s="629"/>
      <c r="K43" s="621"/>
    </row>
    <row r="44" spans="1:11" ht="15.95" customHeight="1" thickBot="1" x14ac:dyDescent="0.25">
      <c r="A44" s="612"/>
      <c r="B44" s="622" t="s">
        <v>348</v>
      </c>
      <c r="C44" s="623" t="s">
        <v>349</v>
      </c>
      <c r="D44" s="624"/>
      <c r="E44" s="624">
        <v>565</v>
      </c>
      <c r="F44" s="625">
        <v>565</v>
      </c>
      <c r="G44" s="626"/>
      <c r="H44" s="627">
        <f>'[10]PO - kultura'!AM20</f>
        <v>595</v>
      </c>
      <c r="I44" s="628">
        <f t="shared" si="6"/>
        <v>30</v>
      </c>
      <c r="J44" s="629">
        <f t="shared" si="7"/>
        <v>5.3097345132743445E-2</v>
      </c>
      <c r="K44" s="621"/>
    </row>
    <row r="45" spans="1:11" ht="24.95" customHeight="1" x14ac:dyDescent="0.2">
      <c r="A45" s="612"/>
      <c r="B45" s="613" t="s">
        <v>350</v>
      </c>
      <c r="C45" s="614"/>
      <c r="D45" s="615">
        <f>SUM(D46:D50)</f>
        <v>225810</v>
      </c>
      <c r="E45" s="615">
        <f>SUM(E46:E50)</f>
        <v>334164</v>
      </c>
      <c r="F45" s="616">
        <f>SUM(F46:F50)</f>
        <v>337810</v>
      </c>
      <c r="G45" s="617">
        <f>SUM(G46:G50)</f>
        <v>273463</v>
      </c>
      <c r="H45" s="618">
        <f>SUM(H46:H50)</f>
        <v>341051</v>
      </c>
      <c r="I45" s="619">
        <f t="shared" si="6"/>
        <v>6887</v>
      </c>
      <c r="J45" s="620">
        <f>H45/E45-1</f>
        <v>2.0609640775188121E-2</v>
      </c>
      <c r="K45" s="621"/>
    </row>
    <row r="46" spans="1:11" ht="17.100000000000001" customHeight="1" x14ac:dyDescent="0.2">
      <c r="A46" s="612"/>
      <c r="B46" s="622" t="s">
        <v>320</v>
      </c>
      <c r="C46" s="623" t="s">
        <v>321</v>
      </c>
      <c r="D46" s="624">
        <f>SUM('[10]Celkem zdravotnictví'!C12)</f>
        <v>74123</v>
      </c>
      <c r="E46" s="624">
        <v>32651</v>
      </c>
      <c r="F46" s="625">
        <v>32651</v>
      </c>
      <c r="G46" s="626">
        <v>96028</v>
      </c>
      <c r="H46" s="627">
        <f>SUM('[10]Celkem zdravotnictví'!F12)</f>
        <v>28915</v>
      </c>
      <c r="I46" s="628">
        <f>H46-E46</f>
        <v>-3736</v>
      </c>
      <c r="J46" s="629">
        <f>H46/E46-1</f>
        <v>-0.11442222290282078</v>
      </c>
      <c r="K46" s="621"/>
    </row>
    <row r="47" spans="1:11" ht="17.100000000000001" customHeight="1" x14ac:dyDescent="0.2">
      <c r="A47" s="612"/>
      <c r="B47" s="622" t="s">
        <v>322</v>
      </c>
      <c r="C47" s="623" t="s">
        <v>323</v>
      </c>
      <c r="D47" s="624">
        <f>SUM('[10]Celkem zdravotnictví'!C13)</f>
        <v>129005</v>
      </c>
      <c r="E47" s="624">
        <v>253832</v>
      </c>
      <c r="F47" s="625">
        <v>256918</v>
      </c>
      <c r="G47" s="626">
        <v>151438</v>
      </c>
      <c r="H47" s="627">
        <f>SUM('[10]Celkem zdravotnictví'!F13)</f>
        <v>259101</v>
      </c>
      <c r="I47" s="628">
        <f t="shared" si="6"/>
        <v>5269</v>
      </c>
      <c r="J47" s="629">
        <f>H47/E47-1</f>
        <v>2.075782407261495E-2</v>
      </c>
      <c r="K47" s="621"/>
    </row>
    <row r="48" spans="1:11" ht="17.100000000000001" customHeight="1" x14ac:dyDescent="0.2">
      <c r="A48" s="612"/>
      <c r="B48" s="622" t="s">
        <v>324</v>
      </c>
      <c r="C48" s="623" t="s">
        <v>325</v>
      </c>
      <c r="D48" s="624">
        <f>SUM('[10]Celkem zdravotnictví'!C14)</f>
        <v>14538</v>
      </c>
      <c r="E48" s="624">
        <v>47681</v>
      </c>
      <c r="F48" s="625">
        <v>47681</v>
      </c>
      <c r="G48" s="626">
        <v>25997</v>
      </c>
      <c r="H48" s="627">
        <f>SUM('[10]Celkem zdravotnictví'!F14)</f>
        <v>50318</v>
      </c>
      <c r="I48" s="628">
        <f t="shared" si="6"/>
        <v>2637</v>
      </c>
      <c r="J48" s="629">
        <f>H48/E48-1</f>
        <v>5.5305048132379797E-2</v>
      </c>
      <c r="K48" s="621"/>
    </row>
    <row r="49" spans="1:13" ht="17.100000000000001" customHeight="1" thickBot="1" x14ac:dyDescent="0.25">
      <c r="A49" s="612"/>
      <c r="B49" s="630" t="s">
        <v>326</v>
      </c>
      <c r="C49" s="631" t="s">
        <v>327</v>
      </c>
      <c r="D49" s="624">
        <f>SUM('[10]Celkem zdravotnictví'!C15)</f>
        <v>0</v>
      </c>
      <c r="E49" s="624">
        <v>0</v>
      </c>
      <c r="F49" s="625">
        <v>560</v>
      </c>
      <c r="G49" s="626"/>
      <c r="H49" s="627">
        <f>'[10]Celkem zdravotnictví'!F15</f>
        <v>2717</v>
      </c>
      <c r="I49" s="628">
        <f t="shared" si="6"/>
        <v>2717</v>
      </c>
      <c r="J49" s="629"/>
      <c r="K49" s="621"/>
    </row>
    <row r="50" spans="1:13" ht="15" hidden="1" thickBot="1" x14ac:dyDescent="0.25">
      <c r="A50" s="612"/>
      <c r="B50" s="622" t="s">
        <v>328</v>
      </c>
      <c r="C50" s="623" t="s">
        <v>329</v>
      </c>
      <c r="D50" s="624">
        <f>SUM('[10]Celkem zdravotnictví'!C16)</f>
        <v>8144</v>
      </c>
      <c r="E50" s="624"/>
      <c r="F50" s="625"/>
      <c r="G50" s="626"/>
      <c r="H50" s="627"/>
      <c r="I50" s="628"/>
      <c r="J50" s="629"/>
      <c r="K50" s="621"/>
    </row>
    <row r="51" spans="1:13" ht="15" hidden="1" thickBot="1" x14ac:dyDescent="0.25">
      <c r="A51" s="612"/>
      <c r="B51" s="622" t="s">
        <v>351</v>
      </c>
      <c r="C51" s="652"/>
      <c r="D51" s="633"/>
      <c r="E51" s="624">
        <f>SUM('[10]Celkem zdravotnictví'!D18)</f>
        <v>0</v>
      </c>
      <c r="F51" s="625"/>
      <c r="G51" s="626"/>
      <c r="H51" s="627"/>
      <c r="I51" s="628" t="e">
        <f>#REF!-E51</f>
        <v>#REF!</v>
      </c>
      <c r="J51" s="629" t="e">
        <f>#REF!/E51-1</f>
        <v>#REF!</v>
      </c>
      <c r="K51" s="621"/>
    </row>
    <row r="52" spans="1:13" s="635" customFormat="1" ht="24.95" customHeight="1" thickBot="1" x14ac:dyDescent="0.25">
      <c r="A52" s="634"/>
      <c r="B52" s="653" t="s">
        <v>352</v>
      </c>
      <c r="C52" s="654" t="s">
        <v>353</v>
      </c>
      <c r="D52" s="655">
        <v>0</v>
      </c>
      <c r="E52" s="656">
        <v>19760</v>
      </c>
      <c r="F52" s="657">
        <v>17157</v>
      </c>
      <c r="G52" s="658">
        <f>F52</f>
        <v>17157</v>
      </c>
      <c r="H52" s="659">
        <f>'[10]rezerva PO'!J13</f>
        <v>20000</v>
      </c>
      <c r="I52" s="656">
        <f>H52-E52</f>
        <v>240</v>
      </c>
      <c r="J52" s="620">
        <f>H52/E52-1</f>
        <v>1.2145748987854255E-2</v>
      </c>
      <c r="K52" s="621"/>
    </row>
    <row r="53" spans="1:13" s="635" customFormat="1" ht="24.95" hidden="1" customHeight="1" thickBot="1" x14ac:dyDescent="0.3">
      <c r="A53" s="634"/>
      <c r="B53" s="660" t="s">
        <v>354</v>
      </c>
      <c r="C53" s="661" t="s">
        <v>355</v>
      </c>
      <c r="D53" s="662">
        <v>0</v>
      </c>
      <c r="E53" s="663"/>
      <c r="F53" s="664"/>
      <c r="G53" s="664">
        <f>F53</f>
        <v>0</v>
      </c>
      <c r="H53" s="665">
        <f>'[10]rezerva PO'!K13</f>
        <v>0</v>
      </c>
      <c r="I53" s="666">
        <f t="shared" ref="I53" si="8">H53-E53</f>
        <v>0</v>
      </c>
      <c r="J53" s="667"/>
      <c r="K53" s="621"/>
    </row>
    <row r="54" spans="1:13" s="676" customFormat="1" ht="30" customHeight="1" thickTop="1" thickBot="1" x14ac:dyDescent="0.3">
      <c r="A54" s="668"/>
      <c r="B54" s="669" t="s">
        <v>356</v>
      </c>
      <c r="C54" s="670"/>
      <c r="D54" s="671" t="e">
        <f>SUM(D9,D15,D20,D33,D45,D53)</f>
        <v>#REF!</v>
      </c>
      <c r="E54" s="671">
        <f>SUM(E9,E15,E20,E33,E45,E53,E52)</f>
        <v>3385644</v>
      </c>
      <c r="F54" s="672">
        <f>SUM(F9,F15,F20,F33,F45,F53,F52)</f>
        <v>3452212</v>
      </c>
      <c r="G54" s="672">
        <f>SUM(G9,G15,G20,G33,G45,G53)</f>
        <v>2651570</v>
      </c>
      <c r="H54" s="671">
        <f>SUM(H9,H15,H20,H33,H45,H53,H52)</f>
        <v>3455913</v>
      </c>
      <c r="I54" s="673">
        <f>H54-E54</f>
        <v>70269</v>
      </c>
      <c r="J54" s="674">
        <f>H54/E54-1</f>
        <v>2.0754987825063687E-2</v>
      </c>
      <c r="K54" s="675"/>
    </row>
    <row r="55" spans="1:13" ht="15.95" hidden="1" customHeight="1" thickBot="1" x14ac:dyDescent="0.3">
      <c r="A55" s="612"/>
      <c r="B55" s="677" t="s">
        <v>357</v>
      </c>
      <c r="C55" s="678"/>
      <c r="D55" s="679">
        <f>9106+550+451634+339314+2013804</f>
        <v>2814408</v>
      </c>
      <c r="E55" s="677"/>
      <c r="F55" s="680"/>
      <c r="G55" s="681"/>
      <c r="H55" s="682"/>
      <c r="I55" s="683"/>
      <c r="J55" s="684"/>
      <c r="K55" s="685"/>
    </row>
    <row r="56" spans="1:13" ht="23.25" hidden="1" customHeight="1" thickTop="1" thickBot="1" x14ac:dyDescent="0.3">
      <c r="B56" s="686" t="s">
        <v>356</v>
      </c>
      <c r="C56" s="687"/>
      <c r="D56" s="688" t="e">
        <f>SUM(D54:D55)</f>
        <v>#REF!</v>
      </c>
      <c r="E56" s="689">
        <f>SUM(E54)</f>
        <v>3385644</v>
      </c>
      <c r="F56" s="690">
        <f t="shared" ref="F56:I56" si="9">SUM(F54)</f>
        <v>3452212</v>
      </c>
      <c r="G56" s="690">
        <f t="shared" si="9"/>
        <v>2651570</v>
      </c>
      <c r="H56" s="691">
        <f t="shared" si="9"/>
        <v>3455913</v>
      </c>
      <c r="I56" s="692">
        <f t="shared" si="9"/>
        <v>70269</v>
      </c>
      <c r="J56" s="693">
        <f>H56/E56-1</f>
        <v>2.0754987825063687E-2</v>
      </c>
      <c r="L56" s="612"/>
      <c r="M56" s="612"/>
    </row>
    <row r="57" spans="1:13" x14ac:dyDescent="0.2">
      <c r="F57" s="694"/>
      <c r="G57" s="694"/>
      <c r="H57" s="695"/>
    </row>
    <row r="58" spans="1:13" x14ac:dyDescent="0.2">
      <c r="F58" s="694"/>
      <c r="G58" s="694"/>
      <c r="H58" s="695"/>
    </row>
    <row r="59" spans="1:13" ht="18.75" thickBot="1" x14ac:dyDescent="0.3">
      <c r="B59" s="696" t="s">
        <v>25</v>
      </c>
      <c r="C59" s="697"/>
      <c r="D59" s="697"/>
      <c r="J59" s="599" t="s">
        <v>0</v>
      </c>
    </row>
    <row r="60" spans="1:13" ht="15.75" customHeight="1" x14ac:dyDescent="0.25">
      <c r="B60" s="600"/>
      <c r="C60" s="601"/>
      <c r="D60" s="602">
        <v>2015</v>
      </c>
      <c r="E60" s="1059">
        <v>2020</v>
      </c>
      <c r="F60" s="1060"/>
      <c r="G60" s="1061"/>
      <c r="H60" s="603">
        <v>2021</v>
      </c>
      <c r="I60" s="1060" t="s">
        <v>304</v>
      </c>
      <c r="J60" s="1062"/>
    </row>
    <row r="61" spans="1:13" ht="15.75" customHeight="1" x14ac:dyDescent="0.2">
      <c r="B61" s="1063" t="s">
        <v>305</v>
      </c>
      <c r="C61" s="1065" t="s">
        <v>190</v>
      </c>
      <c r="D61" s="1067" t="s">
        <v>306</v>
      </c>
      <c r="E61" s="1069" t="s">
        <v>307</v>
      </c>
      <c r="F61" s="1071" t="s">
        <v>308</v>
      </c>
      <c r="G61" s="1073" t="s">
        <v>309</v>
      </c>
      <c r="H61" s="1075" t="s">
        <v>310</v>
      </c>
      <c r="I61" s="1076" t="s">
        <v>311</v>
      </c>
      <c r="J61" s="1078" t="s">
        <v>312</v>
      </c>
    </row>
    <row r="62" spans="1:13" ht="35.25" customHeight="1" thickBot="1" x14ac:dyDescent="0.25">
      <c r="B62" s="1064"/>
      <c r="C62" s="1066"/>
      <c r="D62" s="1068"/>
      <c r="E62" s="1070"/>
      <c r="F62" s="1072"/>
      <c r="G62" s="1074"/>
      <c r="H62" s="1068"/>
      <c r="I62" s="1077"/>
      <c r="J62" s="1079"/>
    </row>
    <row r="63" spans="1:13" ht="15" customHeight="1" thickTop="1" thickBot="1" x14ac:dyDescent="0.25">
      <c r="B63" s="604"/>
      <c r="C63" s="605"/>
      <c r="D63" s="606" t="s">
        <v>313</v>
      </c>
      <c r="E63" s="607" t="s">
        <v>313</v>
      </c>
      <c r="F63" s="608" t="s">
        <v>314</v>
      </c>
      <c r="G63" s="609" t="s">
        <v>315</v>
      </c>
      <c r="H63" s="606" t="s">
        <v>316</v>
      </c>
      <c r="I63" s="610" t="s">
        <v>317</v>
      </c>
      <c r="J63" s="611" t="s">
        <v>318</v>
      </c>
    </row>
    <row r="64" spans="1:13" s="698" customFormat="1" ht="24.95" customHeight="1" x14ac:dyDescent="0.25">
      <c r="B64" s="699" t="s">
        <v>332</v>
      </c>
      <c r="C64" s="700"/>
      <c r="D64" s="618" t="e">
        <f>SUM(D65:D72)</f>
        <v>#REF!</v>
      </c>
      <c r="E64" s="701">
        <f>SUM(E65:E73)</f>
        <v>1944879</v>
      </c>
      <c r="F64" s="616">
        <f>SUM(F65:F73)</f>
        <v>2000103</v>
      </c>
      <c r="G64" s="702">
        <f>SUM(G65:G72)</f>
        <v>1653933</v>
      </c>
      <c r="H64" s="703">
        <f>SUM(H65:H73)</f>
        <v>1993026</v>
      </c>
      <c r="I64" s="704">
        <f>H64-E64</f>
        <v>48147</v>
      </c>
      <c r="J64" s="705">
        <f>H64/E64-1</f>
        <v>2.4755781722153314E-2</v>
      </c>
      <c r="K64" s="706"/>
    </row>
    <row r="65" spans="2:11" s="635" customFormat="1" ht="17.100000000000001" customHeight="1" x14ac:dyDescent="0.2">
      <c r="B65" s="622" t="s">
        <v>320</v>
      </c>
      <c r="C65" s="707" t="s">
        <v>321</v>
      </c>
      <c r="D65" s="627">
        <f>SUM(D10,D16,D22,D35,D46)</f>
        <v>911473</v>
      </c>
      <c r="E65" s="708">
        <f>SUM(E10,E16,E22,E35,E46)</f>
        <v>632968</v>
      </c>
      <c r="F65" s="625">
        <f>SUM(F10,F16,F22,F35,F46)</f>
        <v>617982</v>
      </c>
      <c r="G65" s="709">
        <v>1066610</v>
      </c>
      <c r="H65" s="627">
        <f>SUM(H10,H16,H22,H35,H46)</f>
        <v>599238</v>
      </c>
      <c r="I65" s="708">
        <f>H65-E65</f>
        <v>-33730</v>
      </c>
      <c r="J65" s="629">
        <f>H65/E65-1</f>
        <v>-5.3288633864587154E-2</v>
      </c>
      <c r="K65" s="365"/>
    </row>
    <row r="66" spans="2:11" s="635" customFormat="1" ht="17.100000000000001" customHeight="1" x14ac:dyDescent="0.2">
      <c r="B66" s="622" t="s">
        <v>322</v>
      </c>
      <c r="C66" s="707" t="s">
        <v>323</v>
      </c>
      <c r="D66" s="627">
        <f>SUM(D11,D23,D36,D47)</f>
        <v>203064</v>
      </c>
      <c r="E66" s="708">
        <f>SUM(E11,E23,E36,E47,E17)</f>
        <v>867784</v>
      </c>
      <c r="F66" s="625">
        <f>SUM(F11,F23,F36,F47,F17)</f>
        <v>930421</v>
      </c>
      <c r="G66" s="709">
        <v>238313</v>
      </c>
      <c r="H66" s="627">
        <f>SUM(H11,H23,H36,H47,H17)</f>
        <v>930978</v>
      </c>
      <c r="I66" s="708">
        <f t="shared" ref="I66:I76" si="10">H66-E66</f>
        <v>63194</v>
      </c>
      <c r="J66" s="629">
        <f>H66/E66-1</f>
        <v>7.2822269136098461E-2</v>
      </c>
      <c r="K66" s="365"/>
    </row>
    <row r="67" spans="2:11" s="635" customFormat="1" ht="17.100000000000001" customHeight="1" x14ac:dyDescent="0.2">
      <c r="B67" s="622" t="s">
        <v>324</v>
      </c>
      <c r="C67" s="707" t="s">
        <v>325</v>
      </c>
      <c r="D67" s="627">
        <f>SUM(D12,D18,D24,D37,D48)</f>
        <v>286197</v>
      </c>
      <c r="E67" s="708">
        <f>SUM(E12,E18,E24,E37,E48)</f>
        <v>422311</v>
      </c>
      <c r="F67" s="625">
        <f>SUM(F12,F18,F24,F37,F48)</f>
        <v>422311</v>
      </c>
      <c r="G67" s="709">
        <v>329855</v>
      </c>
      <c r="H67" s="627">
        <f>SUM(H12,H18,H24,H37,H48)</f>
        <v>437981</v>
      </c>
      <c r="I67" s="708">
        <f t="shared" si="10"/>
        <v>15670</v>
      </c>
      <c r="J67" s="629">
        <f>H67/E67-1</f>
        <v>3.710535600540843E-2</v>
      </c>
      <c r="K67" s="365"/>
    </row>
    <row r="68" spans="2:11" s="635" customFormat="1" ht="17.100000000000001" customHeight="1" x14ac:dyDescent="0.2">
      <c r="B68" s="630" t="s">
        <v>326</v>
      </c>
      <c r="C68" s="710" t="s">
        <v>327</v>
      </c>
      <c r="D68" s="627" t="e">
        <f>SUM(D13,#REF!,D25,D38,D49)</f>
        <v>#REF!</v>
      </c>
      <c r="E68" s="624">
        <f>E19+E25+E38+E13</f>
        <v>0</v>
      </c>
      <c r="F68" s="625">
        <f>F19+F13+F25+F38+F49</f>
        <v>10233</v>
      </c>
      <c r="G68" s="709">
        <f t="shared" ref="G68" si="11">G19</f>
        <v>0</v>
      </c>
      <c r="H68" s="627">
        <f>H19+H25+H38+H13+H49</f>
        <v>2817</v>
      </c>
      <c r="I68" s="708">
        <f t="shared" si="10"/>
        <v>2817</v>
      </c>
      <c r="J68" s="629"/>
      <c r="K68" s="365"/>
    </row>
    <row r="69" spans="2:11" s="635" customFormat="1" ht="17.100000000000001" customHeight="1" x14ac:dyDescent="0.2">
      <c r="B69" s="622" t="s">
        <v>328</v>
      </c>
      <c r="C69" s="707" t="s">
        <v>329</v>
      </c>
      <c r="D69" s="627">
        <f>SUM(D14,D39,D50)</f>
        <v>9849</v>
      </c>
      <c r="E69" s="708">
        <f>SUM(E14,E39,E50)</f>
        <v>1856</v>
      </c>
      <c r="F69" s="625">
        <f>SUM(F14,F39,F50)</f>
        <v>1799</v>
      </c>
      <c r="G69" s="709">
        <v>1798</v>
      </c>
      <c r="H69" s="627">
        <f>SUM(H14,H39,H50)</f>
        <v>1812</v>
      </c>
      <c r="I69" s="708">
        <f t="shared" si="10"/>
        <v>-44</v>
      </c>
      <c r="J69" s="629">
        <f>H69/E69-1</f>
        <v>-2.3706896551724088E-2</v>
      </c>
      <c r="K69" s="365"/>
    </row>
    <row r="70" spans="2:11" s="635" customFormat="1" ht="17.100000000000001" customHeight="1" x14ac:dyDescent="0.2">
      <c r="B70" s="622" t="s">
        <v>343</v>
      </c>
      <c r="C70" s="707" t="s">
        <v>344</v>
      </c>
      <c r="D70" s="627" t="e">
        <f>SUM(D40:D41)</f>
        <v>#REF!</v>
      </c>
      <c r="E70" s="708">
        <f>E40</f>
        <v>180</v>
      </c>
      <c r="F70" s="625">
        <f>F40</f>
        <v>180</v>
      </c>
      <c r="G70" s="709">
        <v>180</v>
      </c>
      <c r="H70" s="627">
        <f>H40</f>
        <v>180</v>
      </c>
      <c r="I70" s="708">
        <f t="shared" si="10"/>
        <v>0</v>
      </c>
      <c r="J70" s="629">
        <f>H70/E70-1</f>
        <v>0</v>
      </c>
      <c r="K70" s="365"/>
    </row>
    <row r="71" spans="2:11" s="635" customFormat="1" ht="17.100000000000001" customHeight="1" x14ac:dyDescent="0.2">
      <c r="B71" s="622" t="s">
        <v>358</v>
      </c>
      <c r="C71" s="707" t="s">
        <v>344</v>
      </c>
      <c r="D71" s="627"/>
      <c r="E71" s="708">
        <f>E41</f>
        <v>20</v>
      </c>
      <c r="F71" s="625">
        <f>F41</f>
        <v>20</v>
      </c>
      <c r="G71" s="709">
        <v>20</v>
      </c>
      <c r="H71" s="627">
        <f>H41</f>
        <v>20</v>
      </c>
      <c r="I71" s="708">
        <f t="shared" si="10"/>
        <v>0</v>
      </c>
      <c r="J71" s="629">
        <f>H71/E71-1</f>
        <v>0</v>
      </c>
      <c r="K71" s="365"/>
    </row>
    <row r="72" spans="2:11" s="635" customFormat="1" ht="17.100000000000001" customHeight="1" thickBot="1" x14ac:dyDescent="0.25">
      <c r="B72" s="622" t="s">
        <v>359</v>
      </c>
      <c r="C72" s="707" t="s">
        <v>353</v>
      </c>
      <c r="D72" s="627">
        <f>SUM(D53)</f>
        <v>0</v>
      </c>
      <c r="E72" s="708">
        <f>E52</f>
        <v>19760</v>
      </c>
      <c r="F72" s="625">
        <f>F52</f>
        <v>17157</v>
      </c>
      <c r="G72" s="709">
        <f>F72</f>
        <v>17157</v>
      </c>
      <c r="H72" s="627">
        <f>H52</f>
        <v>20000</v>
      </c>
      <c r="I72" s="708">
        <f t="shared" si="10"/>
        <v>240</v>
      </c>
      <c r="J72" s="629">
        <f>H72/E72-1</f>
        <v>1.2145748987854255E-2</v>
      </c>
      <c r="K72" s="365"/>
    </row>
    <row r="73" spans="2:11" s="635" customFormat="1" ht="18" hidden="1" customHeight="1" thickBot="1" x14ac:dyDescent="0.25">
      <c r="B73" s="622" t="s">
        <v>360</v>
      </c>
      <c r="C73" s="707" t="s">
        <v>355</v>
      </c>
      <c r="D73" s="627"/>
      <c r="E73" s="708"/>
      <c r="F73" s="625"/>
      <c r="G73" s="709"/>
      <c r="H73" s="627">
        <f>H53</f>
        <v>0</v>
      </c>
      <c r="I73" s="708">
        <f t="shared" si="10"/>
        <v>0</v>
      </c>
      <c r="J73" s="629"/>
      <c r="K73" s="365"/>
    </row>
    <row r="74" spans="2:11" s="698" customFormat="1" ht="24.95" customHeight="1" x14ac:dyDescent="0.25">
      <c r="B74" s="613" t="s">
        <v>346</v>
      </c>
      <c r="C74" s="700"/>
      <c r="D74" s="618"/>
      <c r="E74" s="701">
        <f>E76</f>
        <v>565</v>
      </c>
      <c r="F74" s="616">
        <f>F76</f>
        <v>565</v>
      </c>
      <c r="G74" s="711"/>
      <c r="H74" s="618">
        <f>H76+H75</f>
        <v>595</v>
      </c>
      <c r="I74" s="701">
        <f>H74-E74</f>
        <v>30</v>
      </c>
      <c r="J74" s="620">
        <f>H74/E74-1</f>
        <v>5.3097345132743445E-2</v>
      </c>
      <c r="K74" s="706"/>
    </row>
    <row r="75" spans="2:11" s="698" customFormat="1" ht="19.5" hidden="1" customHeight="1" thickBot="1" x14ac:dyDescent="0.3">
      <c r="B75" s="622" t="s">
        <v>347</v>
      </c>
      <c r="C75" s="707" t="s">
        <v>327</v>
      </c>
      <c r="D75" s="712"/>
      <c r="E75" s="708"/>
      <c r="F75" s="625"/>
      <c r="G75" s="709"/>
      <c r="H75" s="627">
        <f>H43</f>
        <v>0</v>
      </c>
      <c r="I75" s="708">
        <f t="shared" si="10"/>
        <v>0</v>
      </c>
      <c r="J75" s="629"/>
      <c r="K75" s="706"/>
    </row>
    <row r="76" spans="2:11" s="635" customFormat="1" ht="17.100000000000001" customHeight="1" thickBot="1" x14ac:dyDescent="0.25">
      <c r="B76" s="622" t="s">
        <v>348</v>
      </c>
      <c r="C76" s="707" t="s">
        <v>349</v>
      </c>
      <c r="D76" s="712"/>
      <c r="E76" s="708">
        <f>E44</f>
        <v>565</v>
      </c>
      <c r="F76" s="625">
        <f>F44</f>
        <v>565</v>
      </c>
      <c r="G76" s="709"/>
      <c r="H76" s="627">
        <f>H44</f>
        <v>595</v>
      </c>
      <c r="I76" s="708">
        <f t="shared" si="10"/>
        <v>30</v>
      </c>
      <c r="J76" s="629">
        <f>H76/E76-1</f>
        <v>5.3097345132743445E-2</v>
      </c>
      <c r="K76" s="365"/>
    </row>
    <row r="77" spans="2:11" s="635" customFormat="1" ht="24.95" customHeight="1" thickBot="1" x14ac:dyDescent="0.25">
      <c r="B77" s="653" t="s">
        <v>361</v>
      </c>
      <c r="C77" s="713"/>
      <c r="D77" s="714">
        <f>SUM(D78:D81)</f>
        <v>884800</v>
      </c>
      <c r="E77" s="715">
        <f>SUM(E78:E83)</f>
        <v>1440200</v>
      </c>
      <c r="F77" s="716">
        <f>SUM(F78:F83)</f>
        <v>1451544</v>
      </c>
      <c r="G77" s="717">
        <f t="shared" ref="G77:H77" si="12">SUM(G78:G83)</f>
        <v>1000640</v>
      </c>
      <c r="H77" s="714">
        <f t="shared" si="12"/>
        <v>1462292</v>
      </c>
      <c r="I77" s="715">
        <f>H77-E77</f>
        <v>22092</v>
      </c>
      <c r="J77" s="718">
        <f t="shared" ref="J77:J84" si="13">H77/E77-1</f>
        <v>1.5339536175531077E-2</v>
      </c>
      <c r="K77" s="365"/>
    </row>
    <row r="78" spans="2:11" s="635" customFormat="1" ht="27" x14ac:dyDescent="0.2">
      <c r="B78" s="719" t="s">
        <v>362</v>
      </c>
      <c r="C78" s="720" t="s">
        <v>335</v>
      </c>
      <c r="D78" s="647">
        <f t="shared" ref="D78:F81" si="14">SUM(D27)</f>
        <v>403776</v>
      </c>
      <c r="E78" s="721">
        <f t="shared" si="14"/>
        <v>533000</v>
      </c>
      <c r="F78" s="645">
        <f t="shared" si="14"/>
        <v>559027</v>
      </c>
      <c r="G78" s="722">
        <v>475650</v>
      </c>
      <c r="H78" s="647">
        <f>SUM(H27)</f>
        <v>540000</v>
      </c>
      <c r="I78" s="721">
        <f t="shared" ref="I78:I83" si="15">H78-E78</f>
        <v>7000</v>
      </c>
      <c r="J78" s="649">
        <f t="shared" si="13"/>
        <v>1.3133208255159401E-2</v>
      </c>
      <c r="K78" s="365"/>
    </row>
    <row r="79" spans="2:11" s="635" customFormat="1" ht="27" x14ac:dyDescent="0.2">
      <c r="B79" s="719" t="s">
        <v>336</v>
      </c>
      <c r="C79" s="720" t="s">
        <v>337</v>
      </c>
      <c r="D79" s="627">
        <f t="shared" si="14"/>
        <v>440185</v>
      </c>
      <c r="E79" s="721">
        <f t="shared" si="14"/>
        <v>680000</v>
      </c>
      <c r="F79" s="645">
        <f t="shared" si="14"/>
        <v>660000</v>
      </c>
      <c r="G79" s="722">
        <v>462248</v>
      </c>
      <c r="H79" s="647">
        <f>SUM(H28)</f>
        <v>680000</v>
      </c>
      <c r="I79" s="721">
        <f t="shared" si="15"/>
        <v>0</v>
      </c>
      <c r="J79" s="649">
        <f t="shared" si="13"/>
        <v>0</v>
      </c>
      <c r="K79" s="365"/>
    </row>
    <row r="80" spans="2:11" s="635" customFormat="1" ht="17.100000000000001" customHeight="1" x14ac:dyDescent="0.2">
      <c r="B80" s="719" t="s">
        <v>338</v>
      </c>
      <c r="C80" s="710" t="s">
        <v>71</v>
      </c>
      <c r="D80" s="627">
        <f t="shared" si="14"/>
        <v>3170</v>
      </c>
      <c r="E80" s="708">
        <f t="shared" si="14"/>
        <v>15000</v>
      </c>
      <c r="F80" s="625">
        <f t="shared" si="14"/>
        <v>15797</v>
      </c>
      <c r="G80" s="709">
        <v>25000</v>
      </c>
      <c r="H80" s="627">
        <f>SUM(H29)</f>
        <v>16000</v>
      </c>
      <c r="I80" s="708">
        <f t="shared" si="15"/>
        <v>1000</v>
      </c>
      <c r="J80" s="629">
        <f t="shared" si="13"/>
        <v>6.6666666666666652E-2</v>
      </c>
      <c r="K80" s="365"/>
    </row>
    <row r="81" spans="2:11" s="635" customFormat="1" ht="17.100000000000001" customHeight="1" x14ac:dyDescent="0.2">
      <c r="B81" s="723" t="s">
        <v>339</v>
      </c>
      <c r="C81" s="710" t="s">
        <v>73</v>
      </c>
      <c r="D81" s="627">
        <f t="shared" si="14"/>
        <v>37669</v>
      </c>
      <c r="E81" s="708">
        <f t="shared" si="14"/>
        <v>153500</v>
      </c>
      <c r="F81" s="625">
        <f t="shared" si="14"/>
        <v>155228</v>
      </c>
      <c r="G81" s="709">
        <v>37742</v>
      </c>
      <c r="H81" s="627">
        <f>SUM(H30)</f>
        <v>164292</v>
      </c>
      <c r="I81" s="708">
        <f t="shared" si="15"/>
        <v>10792</v>
      </c>
      <c r="J81" s="629">
        <f t="shared" si="13"/>
        <v>7.0306188925081337E-2</v>
      </c>
      <c r="K81" s="365"/>
    </row>
    <row r="82" spans="2:11" s="635" customFormat="1" ht="17.100000000000001" customHeight="1" x14ac:dyDescent="0.2">
      <c r="B82" s="630" t="s">
        <v>340</v>
      </c>
      <c r="C82" s="710" t="s">
        <v>75</v>
      </c>
      <c r="D82" s="627"/>
      <c r="E82" s="708">
        <f>E31</f>
        <v>26000</v>
      </c>
      <c r="F82" s="625">
        <f>F31</f>
        <v>27162</v>
      </c>
      <c r="G82" s="709"/>
      <c r="H82" s="627">
        <f>H31</f>
        <v>27000</v>
      </c>
      <c r="I82" s="708">
        <f t="shared" si="15"/>
        <v>1000</v>
      </c>
      <c r="J82" s="629">
        <f t="shared" si="13"/>
        <v>3.8461538461538547E-2</v>
      </c>
      <c r="K82" s="365"/>
    </row>
    <row r="83" spans="2:11" s="635" customFormat="1" ht="17.100000000000001" customHeight="1" thickBot="1" x14ac:dyDescent="0.25">
      <c r="B83" s="630" t="s">
        <v>341</v>
      </c>
      <c r="C83" s="724" t="s">
        <v>77</v>
      </c>
      <c r="D83" s="627"/>
      <c r="E83" s="708">
        <f>E32</f>
        <v>32700</v>
      </c>
      <c r="F83" s="625">
        <f>F32</f>
        <v>34330</v>
      </c>
      <c r="G83" s="709"/>
      <c r="H83" s="627">
        <f>H32</f>
        <v>35000</v>
      </c>
      <c r="I83" s="708">
        <f t="shared" si="15"/>
        <v>2300</v>
      </c>
      <c r="J83" s="629">
        <f t="shared" si="13"/>
        <v>7.0336391437308965E-2</v>
      </c>
      <c r="K83" s="365"/>
    </row>
    <row r="84" spans="2:11" s="729" customFormat="1" ht="29.25" customHeight="1" thickTop="1" thickBot="1" x14ac:dyDescent="0.3">
      <c r="B84" s="669" t="s">
        <v>356</v>
      </c>
      <c r="C84" s="725"/>
      <c r="D84" s="726" t="e">
        <f>SUM(D64,D77)</f>
        <v>#REF!</v>
      </c>
      <c r="E84" s="727">
        <f>SUM(E64,E77,E74)</f>
        <v>3385644</v>
      </c>
      <c r="F84" s="672">
        <f>SUM(F64,F77,F74)</f>
        <v>3452212</v>
      </c>
      <c r="G84" s="672">
        <f>SUM(G64,G77)</f>
        <v>2654573</v>
      </c>
      <c r="H84" s="726">
        <f>SUM(H64,H77,H74)</f>
        <v>3455913</v>
      </c>
      <c r="I84" s="727">
        <f>H84-E84</f>
        <v>70269</v>
      </c>
      <c r="J84" s="728">
        <f t="shared" si="13"/>
        <v>2.0754987825063687E-2</v>
      </c>
      <c r="K84" s="332"/>
    </row>
    <row r="85" spans="2:11" ht="20.25" hidden="1" customHeight="1" thickBot="1" x14ac:dyDescent="0.25">
      <c r="B85" s="677" t="s">
        <v>357</v>
      </c>
      <c r="C85" s="678"/>
      <c r="D85" s="679">
        <f>9106+550+451634+339314+2013804</f>
        <v>2814408</v>
      </c>
      <c r="E85" s="730"/>
      <c r="F85" s="680"/>
      <c r="G85" s="681"/>
      <c r="H85" s="682"/>
      <c r="I85" s="731"/>
      <c r="J85" s="684"/>
    </row>
    <row r="86" spans="2:11" ht="31.5" hidden="1" customHeight="1" thickTop="1" thickBot="1" x14ac:dyDescent="0.3">
      <c r="B86" s="686" t="s">
        <v>356</v>
      </c>
      <c r="C86" s="687"/>
      <c r="D86" s="732" t="e">
        <f>SUM(D84:D85)</f>
        <v>#REF!</v>
      </c>
      <c r="E86" s="689">
        <f>SUM(E84)</f>
        <v>3385644</v>
      </c>
      <c r="F86" s="690">
        <f>SUM(F84)</f>
        <v>3452212</v>
      </c>
      <c r="G86" s="688">
        <f>SUM(G84)</f>
        <v>2654573</v>
      </c>
      <c r="H86" s="733">
        <f t="shared" ref="H86:I86" si="16">SUM(H84)</f>
        <v>3455913</v>
      </c>
      <c r="I86" s="689">
        <f t="shared" si="16"/>
        <v>70269</v>
      </c>
      <c r="J86" s="693">
        <f>H86/E86-1</f>
        <v>2.0754987825063687E-2</v>
      </c>
    </row>
    <row r="88" spans="2:11" x14ac:dyDescent="0.2">
      <c r="H88" s="695"/>
    </row>
  </sheetData>
  <sheetProtection selectLockedCells="1"/>
  <mergeCells count="23">
    <mergeCell ref="I4:J4"/>
    <mergeCell ref="E5:G5"/>
    <mergeCell ref="I5:J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E60:G60"/>
    <mergeCell ref="I60:J60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50" firstPageNumber="14" fitToHeight="9999" orientation="portrait" useFirstPageNumber="1" r:id="rId1"/>
  <headerFooter>
    <oddFooter>&amp;L&amp;"Arial,Kurzíva"Zastupitelstvo Olomouckého kraje 21-12-2020
11. - Rozpočet Olomouckého kraje 2021 - návrh rozpočtu
Příloha č. 1: Návrh rozpočtu OK na rok 2021 (bilance) - zkrácená verze&amp;R&amp;"-,Kurzíva"Strana &amp;P (Celkem 150)</oddFooter>
  </headerFooter>
  <colBreaks count="1" manualBreakCount="1">
    <brk id="12" max="7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83"/>
  <sheetViews>
    <sheetView showGridLines="0" view="pageBreakPreview" topLeftCell="A22" zoomScaleNormal="100" zoomScaleSheetLayoutView="100" workbookViewId="0">
      <selection activeCell="M65" sqref="M65"/>
    </sheetView>
  </sheetViews>
  <sheetFormatPr defaultColWidth="9.140625" defaultRowHeight="12.75" x14ac:dyDescent="0.2"/>
  <cols>
    <col min="1" max="1" width="7" style="734" customWidth="1"/>
    <col min="2" max="2" width="8.5703125" style="734" customWidth="1"/>
    <col min="3" max="3" width="9.140625" style="734" customWidth="1"/>
    <col min="4" max="4" width="51.85546875" style="734" customWidth="1"/>
    <col min="5" max="6" width="14.42578125" style="734" customWidth="1"/>
    <col min="7" max="7" width="14.28515625" style="734" customWidth="1"/>
    <col min="8" max="8" width="8.28515625" style="734" customWidth="1"/>
    <col min="9" max="9" width="9.140625" style="734"/>
    <col min="10" max="10" width="21.85546875" style="734" customWidth="1"/>
    <col min="11" max="16384" width="9.140625" style="734"/>
  </cols>
  <sheetData>
    <row r="1" spans="2:39" ht="20.25" x14ac:dyDescent="0.3">
      <c r="B1" s="326" t="s">
        <v>409</v>
      </c>
    </row>
    <row r="3" spans="2:39" ht="26.25" customHeight="1" x14ac:dyDescent="0.2">
      <c r="B3" s="1087" t="s">
        <v>17</v>
      </c>
      <c r="C3" s="1088"/>
      <c r="D3" s="1088"/>
      <c r="E3" s="786"/>
      <c r="F3" s="786"/>
      <c r="G3" s="786"/>
      <c r="H3" s="786" t="s">
        <v>408</v>
      </c>
    </row>
    <row r="4" spans="2:39" ht="14.25" x14ac:dyDescent="0.2">
      <c r="B4" s="785" t="s">
        <v>407</v>
      </c>
      <c r="C4" s="785" t="s">
        <v>406</v>
      </c>
      <c r="E4" s="784"/>
      <c r="F4" s="784"/>
      <c r="G4" s="784"/>
      <c r="H4" s="784"/>
    </row>
    <row r="5" spans="2:39" ht="14.25" x14ac:dyDescent="0.2">
      <c r="B5" s="785"/>
      <c r="C5" s="785" t="s">
        <v>405</v>
      </c>
      <c r="E5" s="784"/>
      <c r="F5" s="784"/>
      <c r="G5" s="784"/>
      <c r="H5" s="784"/>
    </row>
    <row r="6" spans="2:39" ht="13.5" thickBot="1" x14ac:dyDescent="0.25">
      <c r="B6" s="783"/>
      <c r="C6" s="783"/>
      <c r="D6" s="783"/>
      <c r="E6" s="783"/>
      <c r="F6" s="783"/>
      <c r="G6" s="783"/>
      <c r="H6" s="783" t="s">
        <v>0</v>
      </c>
    </row>
    <row r="7" spans="2:39" ht="39.75" thickTop="1" thickBot="1" x14ac:dyDescent="0.25">
      <c r="B7" s="782" t="s">
        <v>127</v>
      </c>
      <c r="C7" s="781" t="s">
        <v>404</v>
      </c>
      <c r="D7" s="780" t="s">
        <v>129</v>
      </c>
      <c r="E7" s="778" t="s">
        <v>108</v>
      </c>
      <c r="F7" s="779" t="s">
        <v>130</v>
      </c>
      <c r="G7" s="778" t="s">
        <v>131</v>
      </c>
      <c r="H7" s="777" t="s">
        <v>2</v>
      </c>
      <c r="I7" s="776"/>
      <c r="J7" s="776"/>
      <c r="K7" s="776"/>
      <c r="L7" s="776"/>
      <c r="M7" s="776"/>
      <c r="N7" s="776"/>
      <c r="O7" s="776"/>
      <c r="P7" s="776"/>
      <c r="Q7" s="776"/>
      <c r="R7" s="776"/>
      <c r="S7" s="776"/>
      <c r="T7" s="776"/>
      <c r="U7" s="776"/>
      <c r="V7" s="776"/>
      <c r="W7" s="776"/>
      <c r="X7" s="776"/>
      <c r="Y7" s="776"/>
      <c r="Z7" s="776"/>
      <c r="AA7" s="776"/>
      <c r="AB7" s="776"/>
      <c r="AC7" s="776"/>
      <c r="AD7" s="776"/>
      <c r="AE7" s="776"/>
      <c r="AF7" s="776"/>
      <c r="AG7" s="776"/>
      <c r="AH7" s="776"/>
      <c r="AI7" s="776"/>
      <c r="AJ7" s="776"/>
      <c r="AK7" s="776"/>
      <c r="AL7" s="776"/>
      <c r="AM7" s="776"/>
    </row>
    <row r="8" spans="2:39" s="770" customFormat="1" thickTop="1" thickBot="1" x14ac:dyDescent="0.25">
      <c r="B8" s="775">
        <v>1</v>
      </c>
      <c r="C8" s="774">
        <v>2</v>
      </c>
      <c r="D8" s="774">
        <v>3</v>
      </c>
      <c r="E8" s="773">
        <v>4</v>
      </c>
      <c r="F8" s="773">
        <v>5</v>
      </c>
      <c r="G8" s="773">
        <v>6</v>
      </c>
      <c r="H8" s="772" t="s">
        <v>132</v>
      </c>
      <c r="I8" s="771"/>
      <c r="J8" s="771"/>
      <c r="K8" s="771"/>
      <c r="L8" s="771"/>
      <c r="M8" s="771"/>
      <c r="N8" s="771"/>
      <c r="O8" s="771"/>
      <c r="P8" s="771"/>
      <c r="Q8" s="771"/>
      <c r="R8" s="771"/>
      <c r="S8" s="771"/>
      <c r="T8" s="771"/>
      <c r="U8" s="771"/>
      <c r="V8" s="771"/>
      <c r="W8" s="771"/>
      <c r="X8" s="771"/>
      <c r="Y8" s="771"/>
      <c r="Z8" s="771"/>
      <c r="AA8" s="771"/>
      <c r="AB8" s="771"/>
      <c r="AC8" s="771"/>
      <c r="AD8" s="771"/>
      <c r="AE8" s="771"/>
      <c r="AF8" s="771"/>
      <c r="AG8" s="771"/>
      <c r="AH8" s="771"/>
      <c r="AI8" s="771"/>
      <c r="AJ8" s="771"/>
      <c r="AK8" s="771"/>
      <c r="AL8" s="771"/>
      <c r="AM8" s="771"/>
    </row>
    <row r="9" spans="2:39" ht="15" thickTop="1" x14ac:dyDescent="0.2">
      <c r="B9" s="769">
        <v>6113</v>
      </c>
      <c r="C9" s="768">
        <v>51</v>
      </c>
      <c r="D9" s="767" t="s">
        <v>401</v>
      </c>
      <c r="E9" s="766">
        <v>181</v>
      </c>
      <c r="F9" s="766">
        <v>294</v>
      </c>
      <c r="G9" s="766">
        <f>G19</f>
        <v>280</v>
      </c>
      <c r="H9" s="761">
        <f t="shared" ref="H9:H15" si="0">G9/E9*100</f>
        <v>154.69613259668509</v>
      </c>
    </row>
    <row r="10" spans="2:39" ht="14.25" x14ac:dyDescent="0.2">
      <c r="B10" s="765">
        <v>6113</v>
      </c>
      <c r="C10" s="764">
        <v>54</v>
      </c>
      <c r="D10" s="763" t="s">
        <v>400</v>
      </c>
      <c r="E10" s="762">
        <v>53</v>
      </c>
      <c r="F10" s="762">
        <v>53</v>
      </c>
      <c r="G10" s="762">
        <f>G27</f>
        <v>150</v>
      </c>
      <c r="H10" s="761">
        <f t="shared" si="0"/>
        <v>283.01886792452831</v>
      </c>
    </row>
    <row r="11" spans="2:39" ht="14.25" x14ac:dyDescent="0.2">
      <c r="B11" s="765">
        <v>6113</v>
      </c>
      <c r="C11" s="764">
        <v>59</v>
      </c>
      <c r="D11" s="763" t="s">
        <v>403</v>
      </c>
      <c r="E11" s="762">
        <v>139</v>
      </c>
      <c r="F11" s="762">
        <v>139</v>
      </c>
      <c r="G11" s="762">
        <f>G34</f>
        <v>141</v>
      </c>
      <c r="H11" s="761">
        <f t="shared" si="0"/>
        <v>101.43884892086331</v>
      </c>
    </row>
    <row r="12" spans="2:39" ht="14.25" x14ac:dyDescent="0.2">
      <c r="B12" s="765">
        <v>6172</v>
      </c>
      <c r="C12" s="764">
        <v>50</v>
      </c>
      <c r="D12" s="763" t="s">
        <v>402</v>
      </c>
      <c r="E12" s="762">
        <v>20</v>
      </c>
      <c r="F12" s="762">
        <v>20</v>
      </c>
      <c r="G12" s="762">
        <f>G37</f>
        <v>20</v>
      </c>
      <c r="H12" s="761">
        <f t="shared" si="0"/>
        <v>100</v>
      </c>
    </row>
    <row r="13" spans="2:39" ht="14.25" x14ac:dyDescent="0.2">
      <c r="B13" s="765">
        <v>6172</v>
      </c>
      <c r="C13" s="764">
        <v>51</v>
      </c>
      <c r="D13" s="763" t="s">
        <v>401</v>
      </c>
      <c r="E13" s="762">
        <v>7063</v>
      </c>
      <c r="F13" s="762">
        <v>10318</v>
      </c>
      <c r="G13" s="762">
        <f>G41</f>
        <v>7556</v>
      </c>
      <c r="H13" s="761">
        <f t="shared" si="0"/>
        <v>106.98003681155316</v>
      </c>
    </row>
    <row r="14" spans="2:39" ht="15" thickBot="1" x14ac:dyDescent="0.25">
      <c r="B14" s="760">
        <v>6172</v>
      </c>
      <c r="C14" s="759">
        <v>54</v>
      </c>
      <c r="D14" s="758" t="s">
        <v>400</v>
      </c>
      <c r="E14" s="757">
        <v>3073</v>
      </c>
      <c r="F14" s="757">
        <v>3673</v>
      </c>
      <c r="G14" s="757">
        <f>G67</f>
        <v>2915</v>
      </c>
      <c r="H14" s="756">
        <f t="shared" si="0"/>
        <v>94.858444516758865</v>
      </c>
    </row>
    <row r="15" spans="2:39" ht="16.5" thickTop="1" thickBot="1" x14ac:dyDescent="0.25">
      <c r="B15" s="755" t="s">
        <v>159</v>
      </c>
      <c r="C15" s="754"/>
      <c r="D15" s="753"/>
      <c r="E15" s="752">
        <f>SUM(E9:E14)</f>
        <v>10529</v>
      </c>
      <c r="F15" s="752">
        <f>SUM(F9:F14)</f>
        <v>14497</v>
      </c>
      <c r="G15" s="752">
        <f>SUM(G9:G14)</f>
        <v>11062</v>
      </c>
      <c r="H15" s="751">
        <f t="shared" si="0"/>
        <v>105.06220913667015</v>
      </c>
      <c r="K15" s="748"/>
      <c r="L15" s="748"/>
    </row>
    <row r="16" spans="2:39" ht="13.5" thickTop="1" x14ac:dyDescent="0.2">
      <c r="D16" s="749"/>
      <c r="E16" s="749"/>
      <c r="F16" s="749"/>
      <c r="G16" s="749"/>
    </row>
    <row r="17" spans="1:12" ht="15" x14ac:dyDescent="0.25">
      <c r="B17" s="750" t="s">
        <v>399</v>
      </c>
      <c r="D17" s="749"/>
      <c r="E17" s="749"/>
      <c r="F17" s="749"/>
      <c r="G17" s="749"/>
    </row>
    <row r="18" spans="1:12" x14ac:dyDescent="0.2">
      <c r="D18" s="749"/>
      <c r="E18" s="749"/>
      <c r="F18" s="749"/>
      <c r="G18" s="749"/>
    </row>
    <row r="19" spans="1:12" s="588" customFormat="1" ht="15.75" thickBot="1" x14ac:dyDescent="0.3">
      <c r="B19" s="740" t="s">
        <v>398</v>
      </c>
      <c r="C19" s="740"/>
      <c r="D19" s="739"/>
      <c r="E19" s="739"/>
      <c r="F19" s="739"/>
      <c r="G19" s="1093">
        <f>SUM(G20,G23)</f>
        <v>280</v>
      </c>
      <c r="H19" s="1093"/>
    </row>
    <row r="20" spans="1:12" s="588" customFormat="1" ht="15.75" thickTop="1" x14ac:dyDescent="0.25">
      <c r="A20" s="588">
        <v>5163</v>
      </c>
      <c r="B20" s="742" t="s">
        <v>382</v>
      </c>
      <c r="C20" s="736"/>
      <c r="D20" s="735"/>
      <c r="E20" s="735"/>
      <c r="F20" s="735"/>
      <c r="G20" s="1085">
        <v>10</v>
      </c>
      <c r="H20" s="1086"/>
    </row>
    <row r="21" spans="1:12" s="588" customFormat="1" ht="14.25" x14ac:dyDescent="0.2">
      <c r="B21" s="1089" t="s">
        <v>397</v>
      </c>
      <c r="C21" s="1090"/>
      <c r="D21" s="1090"/>
      <c r="E21" s="1090"/>
      <c r="F21" s="1090"/>
      <c r="G21" s="1090"/>
      <c r="H21" s="1090"/>
    </row>
    <row r="22" spans="1:12" s="588" customFormat="1" ht="12" customHeight="1" x14ac:dyDescent="0.2">
      <c r="B22" s="738"/>
      <c r="C22" s="737"/>
      <c r="D22" s="737"/>
      <c r="E22" s="737"/>
      <c r="F22" s="737"/>
      <c r="G22" s="737"/>
      <c r="H22" s="737"/>
    </row>
    <row r="23" spans="1:12" ht="15" x14ac:dyDescent="0.25">
      <c r="A23" s="734">
        <v>5169</v>
      </c>
      <c r="B23" s="736" t="s">
        <v>376</v>
      </c>
      <c r="C23" s="736"/>
      <c r="D23" s="735"/>
      <c r="E23" s="735"/>
      <c r="F23" s="735"/>
      <c r="G23" s="1085">
        <v>270</v>
      </c>
      <c r="H23" s="1086"/>
      <c r="K23" s="748"/>
      <c r="L23" s="748"/>
    </row>
    <row r="24" spans="1:12" ht="16.5" customHeight="1" x14ac:dyDescent="0.2">
      <c r="B24" s="1091" t="s">
        <v>396</v>
      </c>
      <c r="C24" s="1091"/>
      <c r="D24" s="1091"/>
      <c r="E24" s="1091"/>
      <c r="F24" s="1091"/>
      <c r="G24" s="1091"/>
      <c r="H24" s="1091"/>
    </row>
    <row r="25" spans="1:12" ht="16.5" customHeight="1" x14ac:dyDescent="0.2">
      <c r="B25" s="1091"/>
      <c r="C25" s="1091"/>
      <c r="D25" s="1091"/>
      <c r="E25" s="1091"/>
      <c r="F25" s="1091"/>
      <c r="G25" s="1091"/>
      <c r="H25" s="1091"/>
    </row>
    <row r="26" spans="1:12" ht="21" customHeight="1" x14ac:dyDescent="0.2">
      <c r="B26" s="1089" t="s">
        <v>395</v>
      </c>
      <c r="C26" s="1090"/>
      <c r="D26" s="1090"/>
      <c r="E26" s="1090"/>
      <c r="F26" s="1090"/>
      <c r="G26" s="1090"/>
      <c r="H26" s="1090"/>
    </row>
    <row r="27" spans="1:12" s="588" customFormat="1" ht="15.75" thickBot="1" x14ac:dyDescent="0.3">
      <c r="B27" s="740" t="s">
        <v>394</v>
      </c>
      <c r="C27" s="740"/>
      <c r="D27" s="739"/>
      <c r="E27" s="739"/>
      <c r="F27" s="739"/>
      <c r="G27" s="1093">
        <f>SUM(G28,G31)</f>
        <v>150</v>
      </c>
      <c r="H27" s="1093"/>
    </row>
    <row r="28" spans="1:12" ht="15.75" thickTop="1" x14ac:dyDescent="0.25">
      <c r="A28" s="734">
        <v>5499</v>
      </c>
      <c r="B28" s="736" t="s">
        <v>366</v>
      </c>
      <c r="C28" s="736"/>
      <c r="D28" s="735"/>
      <c r="E28" s="735"/>
      <c r="F28" s="735"/>
      <c r="G28" s="1085">
        <v>100</v>
      </c>
      <c r="H28" s="1086"/>
    </row>
    <row r="29" spans="1:12" ht="31.5" customHeight="1" x14ac:dyDescent="0.2">
      <c r="B29" s="1091" t="s">
        <v>393</v>
      </c>
      <c r="C29" s="1092"/>
      <c r="D29" s="1092"/>
      <c r="E29" s="1092"/>
      <c r="F29" s="1092"/>
      <c r="G29" s="1092"/>
      <c r="H29" s="1092"/>
    </row>
    <row r="30" spans="1:12" ht="15" customHeight="1" x14ac:dyDescent="0.2">
      <c r="B30" s="747"/>
      <c r="C30" s="746"/>
      <c r="D30" s="746"/>
      <c r="E30" s="746"/>
      <c r="F30" s="746"/>
      <c r="G30" s="746"/>
      <c r="H30" s="746"/>
    </row>
    <row r="31" spans="1:12" ht="15" x14ac:dyDescent="0.25">
      <c r="A31" s="734">
        <v>5499</v>
      </c>
      <c r="B31" s="736" t="s">
        <v>366</v>
      </c>
      <c r="C31" s="746"/>
      <c r="D31" s="746"/>
      <c r="E31" s="746"/>
      <c r="F31" s="746"/>
      <c r="G31" s="1085">
        <v>50</v>
      </c>
      <c r="H31" s="1086"/>
    </row>
    <row r="32" spans="1:12" ht="15" customHeight="1" x14ac:dyDescent="0.2">
      <c r="B32" s="1089" t="s">
        <v>392</v>
      </c>
      <c r="C32" s="1090"/>
      <c r="D32" s="1090"/>
      <c r="E32" s="1090"/>
      <c r="F32" s="1090"/>
      <c r="G32" s="1090"/>
      <c r="H32" s="1090"/>
    </row>
    <row r="33" spans="1:8" ht="15" customHeight="1" x14ac:dyDescent="0.2">
      <c r="B33" s="738"/>
      <c r="C33" s="737"/>
      <c r="D33" s="737"/>
      <c r="E33" s="737"/>
      <c r="F33" s="737"/>
      <c r="G33" s="737"/>
      <c r="H33" s="737"/>
    </row>
    <row r="34" spans="1:8" s="588" customFormat="1" ht="15.75" thickBot="1" x14ac:dyDescent="0.3">
      <c r="B34" s="740" t="s">
        <v>391</v>
      </c>
      <c r="C34" s="740"/>
      <c r="D34" s="739"/>
      <c r="E34" s="739"/>
      <c r="F34" s="739"/>
      <c r="G34" s="1093">
        <f>SUM(G35)</f>
        <v>141</v>
      </c>
      <c r="H34" s="1093"/>
    </row>
    <row r="35" spans="1:8" ht="15.75" thickTop="1" x14ac:dyDescent="0.25">
      <c r="A35" s="734">
        <v>5901</v>
      </c>
      <c r="B35" s="736" t="s">
        <v>390</v>
      </c>
      <c r="C35" s="736"/>
      <c r="D35" s="735"/>
      <c r="E35" s="735"/>
      <c r="F35" s="735"/>
      <c r="G35" s="1085">
        <v>141</v>
      </c>
      <c r="H35" s="1086"/>
    </row>
    <row r="36" spans="1:8" ht="31.5" customHeight="1" x14ac:dyDescent="0.2">
      <c r="B36" s="1091" t="s">
        <v>389</v>
      </c>
      <c r="C36" s="1092"/>
      <c r="D36" s="1092"/>
      <c r="E36" s="1092"/>
      <c r="F36" s="1092"/>
      <c r="G36" s="1092"/>
      <c r="H36" s="1092"/>
    </row>
    <row r="37" spans="1:8" ht="15.95" customHeight="1" thickBot="1" x14ac:dyDescent="0.3">
      <c r="B37" s="740" t="s">
        <v>388</v>
      </c>
      <c r="C37" s="740"/>
      <c r="D37" s="739"/>
      <c r="E37" s="739"/>
      <c r="F37" s="739"/>
      <c r="G37" s="1093">
        <f>SUM(G38)</f>
        <v>20</v>
      </c>
      <c r="H37" s="1093"/>
    </row>
    <row r="38" spans="1:8" ht="15.95" customHeight="1" thickTop="1" x14ac:dyDescent="0.25">
      <c r="A38" s="734">
        <v>5041</v>
      </c>
      <c r="B38" s="745" t="s">
        <v>387</v>
      </c>
      <c r="C38" s="737"/>
      <c r="D38" s="737"/>
      <c r="E38" s="737"/>
      <c r="F38" s="737"/>
      <c r="G38" s="1085">
        <v>20</v>
      </c>
      <c r="H38" s="1086"/>
    </row>
    <row r="39" spans="1:8" ht="15.95" customHeight="1" x14ac:dyDescent="0.2">
      <c r="B39" s="1089" t="s">
        <v>386</v>
      </c>
      <c r="C39" s="1089"/>
      <c r="D39" s="1089"/>
      <c r="E39" s="1089"/>
      <c r="F39" s="1089"/>
      <c r="G39" s="1089"/>
      <c r="H39" s="1089"/>
    </row>
    <row r="40" spans="1:8" ht="15.95" customHeight="1" x14ac:dyDescent="0.2">
      <c r="B40" s="738"/>
      <c r="C40" s="737"/>
      <c r="D40" s="737"/>
      <c r="E40" s="737"/>
      <c r="F40" s="737"/>
      <c r="G40" s="737"/>
      <c r="H40" s="737"/>
    </row>
    <row r="41" spans="1:8" s="588" customFormat="1" ht="15.75" thickBot="1" x14ac:dyDescent="0.3">
      <c r="B41" s="740" t="s">
        <v>385</v>
      </c>
      <c r="C41" s="740"/>
      <c r="D41" s="739"/>
      <c r="E41" s="739"/>
      <c r="F41" s="739"/>
      <c r="G41" s="1093">
        <f>SUM(G42,G45,G48,G51,G54,G57,G60,G63)</f>
        <v>7556</v>
      </c>
      <c r="H41" s="1093"/>
    </row>
    <row r="42" spans="1:8" ht="15.75" thickTop="1" x14ac:dyDescent="0.25">
      <c r="A42" s="734">
        <v>5139</v>
      </c>
      <c r="B42" s="742" t="s">
        <v>384</v>
      </c>
      <c r="C42" s="742"/>
      <c r="D42" s="741"/>
      <c r="E42" s="741"/>
      <c r="F42" s="741"/>
      <c r="G42" s="1085">
        <v>20</v>
      </c>
      <c r="H42" s="1086"/>
    </row>
    <row r="43" spans="1:8" ht="15" customHeight="1" x14ac:dyDescent="0.2">
      <c r="B43" s="1094" t="s">
        <v>383</v>
      </c>
      <c r="C43" s="1095"/>
      <c r="D43" s="1095"/>
      <c r="E43" s="1095"/>
      <c r="F43" s="1095"/>
      <c r="G43" s="1095"/>
      <c r="H43" s="1095"/>
    </row>
    <row r="44" spans="1:8" ht="15" customHeight="1" x14ac:dyDescent="0.2">
      <c r="B44" s="744"/>
      <c r="C44" s="743"/>
      <c r="D44" s="743"/>
      <c r="E44" s="743"/>
      <c r="F44" s="743"/>
      <c r="G44" s="743"/>
      <c r="H44" s="743"/>
    </row>
    <row r="45" spans="1:8" ht="15" customHeight="1" x14ac:dyDescent="0.25">
      <c r="A45" s="734">
        <v>5163</v>
      </c>
      <c r="B45" s="742" t="s">
        <v>382</v>
      </c>
      <c r="C45" s="742"/>
      <c r="D45" s="741"/>
      <c r="E45" s="741"/>
      <c r="F45" s="741"/>
      <c r="G45" s="1085">
        <v>2</v>
      </c>
      <c r="H45" s="1086"/>
    </row>
    <row r="46" spans="1:8" ht="15" customHeight="1" x14ac:dyDescent="0.2">
      <c r="B46" s="1094" t="s">
        <v>381</v>
      </c>
      <c r="C46" s="1095"/>
      <c r="D46" s="1095"/>
      <c r="E46" s="1095"/>
      <c r="F46" s="1095"/>
      <c r="G46" s="1095"/>
      <c r="H46" s="1095"/>
    </row>
    <row r="47" spans="1:8" ht="15" customHeight="1" x14ac:dyDescent="0.2">
      <c r="B47" s="744"/>
      <c r="C47" s="743"/>
      <c r="D47" s="743"/>
      <c r="E47" s="743"/>
      <c r="F47" s="743"/>
      <c r="G47" s="743"/>
      <c r="H47" s="743"/>
    </row>
    <row r="48" spans="1:8" ht="15" customHeight="1" x14ac:dyDescent="0.25">
      <c r="A48" s="734">
        <v>5164</v>
      </c>
      <c r="B48" s="742" t="s">
        <v>380</v>
      </c>
      <c r="C48" s="742"/>
      <c r="D48" s="741"/>
      <c r="E48" s="741"/>
      <c r="F48" s="741"/>
      <c r="G48" s="1085">
        <v>100</v>
      </c>
      <c r="H48" s="1086"/>
    </row>
    <row r="49" spans="1:8" ht="29.25" customHeight="1" x14ac:dyDescent="0.2">
      <c r="B49" s="1094" t="s">
        <v>379</v>
      </c>
      <c r="C49" s="1095"/>
      <c r="D49" s="1095"/>
      <c r="E49" s="1095"/>
      <c r="F49" s="1095"/>
      <c r="G49" s="1095"/>
      <c r="H49" s="1095"/>
    </row>
    <row r="50" spans="1:8" ht="15" customHeight="1" x14ac:dyDescent="0.2">
      <c r="B50" s="744"/>
      <c r="C50" s="743"/>
      <c r="D50" s="743"/>
      <c r="E50" s="743"/>
      <c r="F50" s="743"/>
      <c r="G50" s="743"/>
      <c r="H50" s="743"/>
    </row>
    <row r="51" spans="1:8" ht="15" customHeight="1" x14ac:dyDescent="0.25">
      <c r="A51" s="734">
        <v>5169</v>
      </c>
      <c r="B51" s="742" t="s">
        <v>376</v>
      </c>
      <c r="C51" s="742"/>
      <c r="D51" s="741"/>
      <c r="E51" s="741"/>
      <c r="F51" s="741"/>
      <c r="G51" s="1085">
        <v>214</v>
      </c>
      <c r="H51" s="1086"/>
    </row>
    <row r="52" spans="1:8" ht="15" customHeight="1" x14ac:dyDescent="0.2">
      <c r="B52" s="1094" t="s">
        <v>378</v>
      </c>
      <c r="C52" s="1095"/>
      <c r="D52" s="1095"/>
      <c r="E52" s="1095"/>
      <c r="F52" s="1095"/>
      <c r="G52" s="1095"/>
      <c r="H52" s="1095"/>
    </row>
    <row r="53" spans="1:8" ht="15" customHeight="1" x14ac:dyDescent="0.2">
      <c r="B53" s="744"/>
      <c r="C53" s="743"/>
      <c r="D53" s="743"/>
      <c r="E53" s="743"/>
      <c r="F53" s="743"/>
      <c r="G53" s="743"/>
      <c r="H53" s="743"/>
    </row>
    <row r="54" spans="1:8" ht="15" customHeight="1" x14ac:dyDescent="0.25">
      <c r="A54" s="734">
        <v>5169</v>
      </c>
      <c r="B54" s="742" t="s">
        <v>376</v>
      </c>
      <c r="C54" s="742"/>
      <c r="D54" s="741"/>
      <c r="E54" s="741"/>
      <c r="F54" s="741"/>
      <c r="G54" s="1085">
        <v>3040</v>
      </c>
      <c r="H54" s="1086"/>
    </row>
    <row r="55" spans="1:8" ht="29.25" customHeight="1" x14ac:dyDescent="0.2">
      <c r="B55" s="1094" t="s">
        <v>377</v>
      </c>
      <c r="C55" s="1095"/>
      <c r="D55" s="1095"/>
      <c r="E55" s="1095"/>
      <c r="F55" s="1095"/>
      <c r="G55" s="1095"/>
      <c r="H55" s="1095"/>
    </row>
    <row r="56" spans="1:8" ht="15" customHeight="1" x14ac:dyDescent="0.2">
      <c r="B56" s="744"/>
      <c r="C56" s="743"/>
      <c r="D56" s="743"/>
      <c r="E56" s="743"/>
      <c r="F56" s="743"/>
      <c r="G56" s="743"/>
      <c r="H56" s="743"/>
    </row>
    <row r="57" spans="1:8" ht="15" customHeight="1" x14ac:dyDescent="0.25">
      <c r="A57" s="734">
        <v>5169</v>
      </c>
      <c r="B57" s="742" t="s">
        <v>376</v>
      </c>
      <c r="C57" s="742"/>
      <c r="D57" s="741"/>
      <c r="E57" s="741"/>
      <c r="F57" s="741"/>
      <c r="G57" s="1085">
        <v>3330</v>
      </c>
      <c r="H57" s="1086"/>
    </row>
    <row r="58" spans="1:8" ht="15" customHeight="1" x14ac:dyDescent="0.2">
      <c r="B58" s="1094" t="s">
        <v>375</v>
      </c>
      <c r="C58" s="1095"/>
      <c r="D58" s="1095"/>
      <c r="E58" s="1095"/>
      <c r="F58" s="1095"/>
      <c r="G58" s="1095"/>
      <c r="H58" s="1095"/>
    </row>
    <row r="59" spans="1:8" ht="15" customHeight="1" x14ac:dyDescent="0.2">
      <c r="B59" s="744"/>
      <c r="C59" s="743"/>
      <c r="D59" s="743"/>
      <c r="E59" s="743"/>
      <c r="F59" s="743"/>
      <c r="G59" s="743"/>
      <c r="H59" s="743"/>
    </row>
    <row r="60" spans="1:8" ht="15" customHeight="1" x14ac:dyDescent="0.25">
      <c r="A60" s="734">
        <v>5175</v>
      </c>
      <c r="B60" s="742" t="s">
        <v>374</v>
      </c>
      <c r="C60" s="742"/>
      <c r="D60" s="741"/>
      <c r="E60" s="741"/>
      <c r="F60" s="741"/>
      <c r="G60" s="1085">
        <v>550</v>
      </c>
      <c r="H60" s="1086"/>
    </row>
    <row r="61" spans="1:8" ht="15" customHeight="1" x14ac:dyDescent="0.2">
      <c r="B61" s="1089" t="s">
        <v>373</v>
      </c>
      <c r="C61" s="1090"/>
      <c r="D61" s="1090"/>
      <c r="E61" s="1090"/>
      <c r="F61" s="1090"/>
      <c r="G61" s="1090"/>
      <c r="H61" s="1090"/>
    </row>
    <row r="62" spans="1:8" ht="15" customHeight="1" x14ac:dyDescent="0.25">
      <c r="B62" s="738"/>
      <c r="C62" s="737"/>
      <c r="D62" s="737"/>
      <c r="E62" s="737"/>
      <c r="F62" s="737"/>
      <c r="G62" s="1085"/>
      <c r="H62" s="1086"/>
    </row>
    <row r="63" spans="1:8" ht="15" customHeight="1" x14ac:dyDescent="0.25">
      <c r="A63" s="734">
        <v>5194</v>
      </c>
      <c r="B63" s="742" t="s">
        <v>372</v>
      </c>
      <c r="C63" s="742"/>
      <c r="D63" s="741"/>
      <c r="E63" s="741"/>
      <c r="F63" s="741"/>
      <c r="G63" s="1085">
        <v>300</v>
      </c>
      <c r="H63" s="1086"/>
    </row>
    <row r="64" spans="1:8" ht="15" customHeight="1" x14ac:dyDescent="0.2">
      <c r="B64" s="1089" t="s">
        <v>371</v>
      </c>
      <c r="C64" s="1090"/>
      <c r="D64" s="1090"/>
      <c r="E64" s="1090"/>
      <c r="F64" s="1090"/>
      <c r="G64" s="1090"/>
      <c r="H64" s="1090"/>
    </row>
    <row r="65" spans="1:8" ht="15" customHeight="1" x14ac:dyDescent="0.2">
      <c r="B65" s="738"/>
      <c r="C65" s="737"/>
      <c r="D65" s="737"/>
      <c r="E65" s="737"/>
      <c r="F65" s="737"/>
      <c r="G65" s="737"/>
      <c r="H65" s="737"/>
    </row>
    <row r="66" spans="1:8" ht="15" customHeight="1" x14ac:dyDescent="0.2">
      <c r="B66" s="738"/>
      <c r="C66" s="737"/>
      <c r="D66" s="737"/>
      <c r="E66" s="737"/>
      <c r="F66" s="737"/>
      <c r="G66" s="737"/>
      <c r="H66" s="737"/>
    </row>
    <row r="67" spans="1:8" s="588" customFormat="1" ht="15" customHeight="1" thickBot="1" x14ac:dyDescent="0.3">
      <c r="B67" s="740" t="s">
        <v>370</v>
      </c>
      <c r="C67" s="740"/>
      <c r="D67" s="739"/>
      <c r="E67" s="739"/>
      <c r="F67" s="739"/>
      <c r="G67" s="1093">
        <f>SUM(G68,G72,G75,G78)</f>
        <v>2915</v>
      </c>
      <c r="H67" s="1093"/>
    </row>
    <row r="68" spans="1:8" ht="15" customHeight="1" thickTop="1" x14ac:dyDescent="0.25">
      <c r="A68" s="734">
        <v>5499</v>
      </c>
      <c r="B68" s="736" t="s">
        <v>366</v>
      </c>
      <c r="C68" s="736"/>
      <c r="D68" s="735"/>
      <c r="E68" s="735"/>
      <c r="F68" s="735"/>
      <c r="G68" s="1085">
        <v>1910</v>
      </c>
      <c r="H68" s="1086"/>
    </row>
    <row r="69" spans="1:8" ht="15" customHeight="1" x14ac:dyDescent="0.2">
      <c r="B69" s="1091" t="s">
        <v>369</v>
      </c>
      <c r="C69" s="1091"/>
      <c r="D69" s="1091"/>
      <c r="E69" s="1091"/>
      <c r="F69" s="1091"/>
      <c r="G69" s="1091"/>
      <c r="H69" s="1091"/>
    </row>
    <row r="70" spans="1:8" ht="15" customHeight="1" x14ac:dyDescent="0.2">
      <c r="B70" s="1091"/>
      <c r="C70" s="1091"/>
      <c r="D70" s="1091"/>
      <c r="E70" s="1091"/>
      <c r="F70" s="1091"/>
      <c r="G70" s="1091"/>
      <c r="H70" s="1091"/>
    </row>
    <row r="71" spans="1:8" ht="15" customHeight="1" x14ac:dyDescent="0.2">
      <c r="B71" s="738"/>
      <c r="C71" s="737"/>
      <c r="D71" s="737"/>
      <c r="E71" s="737"/>
      <c r="F71" s="737"/>
      <c r="G71" s="737"/>
      <c r="H71" s="737"/>
    </row>
    <row r="72" spans="1:8" ht="15" customHeight="1" x14ac:dyDescent="0.25">
      <c r="A72" s="734">
        <v>5499</v>
      </c>
      <c r="B72" s="736" t="s">
        <v>366</v>
      </c>
      <c r="C72" s="736"/>
      <c r="D72" s="735"/>
      <c r="E72" s="735"/>
      <c r="F72" s="735"/>
      <c r="G72" s="1085">
        <v>135</v>
      </c>
      <c r="H72" s="1086"/>
    </row>
    <row r="73" spans="1:8" ht="15" customHeight="1" x14ac:dyDescent="0.2">
      <c r="B73" s="1089" t="s">
        <v>368</v>
      </c>
      <c r="C73" s="1090"/>
      <c r="D73" s="1090"/>
      <c r="E73" s="1090"/>
      <c r="F73" s="1090"/>
      <c r="G73" s="1090"/>
      <c r="H73" s="1090"/>
    </row>
    <row r="74" spans="1:8" ht="15" customHeight="1" x14ac:dyDescent="0.2">
      <c r="B74" s="738"/>
      <c r="C74" s="737"/>
      <c r="D74" s="737"/>
      <c r="E74" s="737"/>
      <c r="F74" s="737"/>
      <c r="G74" s="737"/>
      <c r="H74" s="737"/>
    </row>
    <row r="75" spans="1:8" ht="15" customHeight="1" x14ac:dyDescent="0.25">
      <c r="A75" s="734">
        <v>5499</v>
      </c>
      <c r="B75" s="736" t="s">
        <v>366</v>
      </c>
      <c r="C75" s="736"/>
      <c r="D75" s="735"/>
      <c r="E75" s="735"/>
      <c r="F75" s="735"/>
      <c r="G75" s="1085">
        <v>20</v>
      </c>
      <c r="H75" s="1086"/>
    </row>
    <row r="76" spans="1:8" ht="15" customHeight="1" x14ac:dyDescent="0.2">
      <c r="B76" s="1089" t="s">
        <v>367</v>
      </c>
      <c r="C76" s="1090"/>
      <c r="D76" s="1090"/>
      <c r="E76" s="1090"/>
      <c r="F76" s="1090"/>
      <c r="G76" s="1090"/>
      <c r="H76" s="1090"/>
    </row>
    <row r="77" spans="1:8" ht="15" customHeight="1" x14ac:dyDescent="0.2"/>
    <row r="78" spans="1:8" ht="15" customHeight="1" x14ac:dyDescent="0.25">
      <c r="A78" s="734">
        <v>5499</v>
      </c>
      <c r="B78" s="736" t="s">
        <v>366</v>
      </c>
      <c r="C78" s="736"/>
      <c r="D78" s="735"/>
      <c r="E78" s="735"/>
      <c r="F78" s="735"/>
      <c r="G78" s="1085">
        <v>850</v>
      </c>
      <c r="H78" s="1086"/>
    </row>
    <row r="79" spans="1:8" ht="15" customHeight="1" x14ac:dyDescent="0.2">
      <c r="B79" s="1089" t="s">
        <v>365</v>
      </c>
      <c r="C79" s="1090"/>
      <c r="D79" s="1090"/>
      <c r="E79" s="1090"/>
      <c r="F79" s="1090"/>
      <c r="G79" s="1090"/>
      <c r="H79" s="1090"/>
    </row>
    <row r="80" spans="1:8" ht="15" customHeight="1" x14ac:dyDescent="0.2"/>
    <row r="81" ht="15" customHeight="1" x14ac:dyDescent="0.2"/>
    <row r="82" ht="15" customHeight="1" x14ac:dyDescent="0.2"/>
    <row r="83" ht="15" customHeight="1" x14ac:dyDescent="0.2"/>
  </sheetData>
  <mergeCells count="45">
    <mergeCell ref="B73:H73"/>
    <mergeCell ref="G62:H62"/>
    <mergeCell ref="G67:H67"/>
    <mergeCell ref="G34:H34"/>
    <mergeCell ref="B39:H39"/>
    <mergeCell ref="G35:H35"/>
    <mergeCell ref="G45:H45"/>
    <mergeCell ref="G57:H57"/>
    <mergeCell ref="G60:H60"/>
    <mergeCell ref="B46:H46"/>
    <mergeCell ref="G48:H48"/>
    <mergeCell ref="G37:H37"/>
    <mergeCell ref="B43:H43"/>
    <mergeCell ref="G38:H38"/>
    <mergeCell ref="B36:H36"/>
    <mergeCell ref="G41:H41"/>
    <mergeCell ref="B79:H79"/>
    <mergeCell ref="B76:H76"/>
    <mergeCell ref="B49:H49"/>
    <mergeCell ref="B52:H52"/>
    <mergeCell ref="B55:H55"/>
    <mergeCell ref="B58:H58"/>
    <mergeCell ref="B61:H61"/>
    <mergeCell ref="G68:H68"/>
    <mergeCell ref="G78:H78"/>
    <mergeCell ref="B69:H70"/>
    <mergeCell ref="G51:H51"/>
    <mergeCell ref="G72:H72"/>
    <mergeCell ref="G75:H75"/>
    <mergeCell ref="G63:H63"/>
    <mergeCell ref="B64:H64"/>
    <mergeCell ref="G54:H54"/>
    <mergeCell ref="G42:H42"/>
    <mergeCell ref="B3:D3"/>
    <mergeCell ref="B26:H26"/>
    <mergeCell ref="B29:H29"/>
    <mergeCell ref="B21:H21"/>
    <mergeCell ref="B32:H32"/>
    <mergeCell ref="G20:H20"/>
    <mergeCell ref="G23:H23"/>
    <mergeCell ref="B24:H25"/>
    <mergeCell ref="G28:H28"/>
    <mergeCell ref="G31:H31"/>
    <mergeCell ref="G19:H19"/>
    <mergeCell ref="G27:H27"/>
  </mergeCells>
  <pageMargins left="0.70866141732283472" right="0.70866141732283472" top="0.78740157480314965" bottom="0.78740157480314965" header="0.31496062992125984" footer="0.31496062992125984"/>
  <pageSetup paperSize="9" scale="72" firstPageNumber="15" fitToHeight="9999" orientation="portrait" useFirstPageNumber="1" r:id="rId1"/>
  <headerFooter>
    <oddFooter>&amp;L&amp;"Arial CE,Kurzíva"Zastupitelstvo Olomouckého kraje 21-12-2020
11. - Rozpočet Olomouckého kraje 2021 - návrh rozpočtu
Příloha č. 1: Návrh rozpočtu OK na rok 2021 (bilance) - zkrácená verze&amp;R&amp;"Arial CE,Kurzíva"Strana &amp;P (Celkem 150)</oddFooter>
  </headerFooter>
  <rowBreaks count="1" manualBreakCount="1">
    <brk id="53" min="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36"/>
  <sheetViews>
    <sheetView showGridLines="0" view="pageBreakPreview" topLeftCell="A7" zoomScaleNormal="100" zoomScaleSheetLayoutView="100" workbookViewId="0">
      <selection activeCell="M65" sqref="M65"/>
    </sheetView>
  </sheetViews>
  <sheetFormatPr defaultColWidth="9.140625" defaultRowHeight="12.75" x14ac:dyDescent="0.2"/>
  <cols>
    <col min="1" max="1" width="8.5703125" style="734" customWidth="1"/>
    <col min="2" max="2" width="9.28515625" style="734" customWidth="1"/>
    <col min="3" max="3" width="51.85546875" style="734" customWidth="1"/>
    <col min="4" max="6" width="14.28515625" style="734" customWidth="1"/>
    <col min="7" max="7" width="8.28515625" style="734" customWidth="1"/>
    <col min="8" max="16384" width="9.140625" style="734"/>
  </cols>
  <sheetData>
    <row r="1" spans="1:34" ht="20.25" x14ac:dyDescent="0.3">
      <c r="A1" s="326" t="s">
        <v>425</v>
      </c>
    </row>
    <row r="3" spans="1:34" ht="24" customHeight="1" x14ac:dyDescent="0.2">
      <c r="A3" s="1096" t="s">
        <v>12</v>
      </c>
      <c r="B3" s="1096"/>
      <c r="C3" s="1096"/>
      <c r="D3" s="1096"/>
      <c r="E3" s="1096"/>
      <c r="F3" s="786"/>
      <c r="G3" s="786" t="s">
        <v>424</v>
      </c>
    </row>
    <row r="4" spans="1:34" x14ac:dyDescent="0.2">
      <c r="A4" s="1096"/>
      <c r="B4" s="1096"/>
      <c r="C4" s="1096"/>
      <c r="D4" s="1096"/>
      <c r="E4" s="1096"/>
    </row>
    <row r="6" spans="1:34" ht="14.25" x14ac:dyDescent="0.2">
      <c r="A6" s="785" t="s">
        <v>407</v>
      </c>
      <c r="B6" s="785" t="s">
        <v>423</v>
      </c>
      <c r="D6" s="784"/>
      <c r="E6" s="784"/>
      <c r="F6" s="784"/>
      <c r="G6" s="784"/>
    </row>
    <row r="7" spans="1:34" ht="14.25" x14ac:dyDescent="0.2">
      <c r="A7" s="785"/>
      <c r="B7" s="785" t="s">
        <v>422</v>
      </c>
      <c r="D7" s="784"/>
      <c r="E7" s="784"/>
      <c r="F7" s="784"/>
      <c r="G7" s="784"/>
    </row>
    <row r="8" spans="1:34" ht="13.5" thickBot="1" x14ac:dyDescent="0.25">
      <c r="A8" s="783"/>
      <c r="B8" s="783"/>
      <c r="C8" s="783"/>
      <c r="D8" s="783"/>
      <c r="E8" s="783"/>
      <c r="F8" s="783"/>
      <c r="G8" s="783" t="s">
        <v>0</v>
      </c>
    </row>
    <row r="9" spans="1:34" ht="39.75" thickTop="1" thickBot="1" x14ac:dyDescent="0.25">
      <c r="A9" s="782" t="s">
        <v>127</v>
      </c>
      <c r="B9" s="781" t="s">
        <v>404</v>
      </c>
      <c r="C9" s="780" t="s">
        <v>129</v>
      </c>
      <c r="D9" s="778" t="s">
        <v>108</v>
      </c>
      <c r="E9" s="778" t="s">
        <v>130</v>
      </c>
      <c r="F9" s="778" t="s">
        <v>131</v>
      </c>
      <c r="G9" s="777" t="s">
        <v>2</v>
      </c>
      <c r="H9" s="776"/>
      <c r="I9" s="776"/>
      <c r="J9" s="776"/>
      <c r="K9" s="776"/>
      <c r="L9" s="776"/>
      <c r="M9" s="776"/>
      <c r="N9" s="776"/>
      <c r="O9" s="776"/>
      <c r="P9" s="776"/>
      <c r="Q9" s="776"/>
      <c r="R9" s="776"/>
      <c r="S9" s="776"/>
      <c r="T9" s="776"/>
      <c r="U9" s="776"/>
      <c r="V9" s="776"/>
      <c r="W9" s="776"/>
      <c r="X9" s="776"/>
      <c r="Y9" s="776"/>
      <c r="Z9" s="776"/>
      <c r="AA9" s="776"/>
      <c r="AB9" s="776"/>
      <c r="AC9" s="776"/>
      <c r="AD9" s="776"/>
      <c r="AE9" s="776"/>
      <c r="AF9" s="776"/>
      <c r="AG9" s="776"/>
      <c r="AH9" s="776"/>
    </row>
    <row r="10" spans="1:34" s="770" customFormat="1" thickTop="1" thickBot="1" x14ac:dyDescent="0.25">
      <c r="A10" s="775">
        <v>1</v>
      </c>
      <c r="B10" s="774">
        <v>2</v>
      </c>
      <c r="C10" s="774">
        <v>3</v>
      </c>
      <c r="D10" s="773">
        <v>4</v>
      </c>
      <c r="E10" s="773">
        <v>5</v>
      </c>
      <c r="F10" s="773">
        <v>6</v>
      </c>
      <c r="G10" s="772" t="s">
        <v>132</v>
      </c>
      <c r="H10" s="771"/>
      <c r="I10" s="771"/>
      <c r="J10" s="771"/>
      <c r="K10" s="771"/>
      <c r="L10" s="771"/>
      <c r="M10" s="771"/>
      <c r="N10" s="771"/>
      <c r="O10" s="771"/>
      <c r="P10" s="771"/>
      <c r="Q10" s="771"/>
      <c r="R10" s="771"/>
      <c r="S10" s="771"/>
      <c r="T10" s="771"/>
      <c r="U10" s="771"/>
      <c r="V10" s="771"/>
      <c r="W10" s="771"/>
      <c r="X10" s="771"/>
      <c r="Y10" s="771"/>
      <c r="Z10" s="771"/>
      <c r="AA10" s="771"/>
      <c r="AB10" s="771"/>
      <c r="AC10" s="771"/>
      <c r="AD10" s="771"/>
      <c r="AE10" s="771"/>
      <c r="AF10" s="771"/>
      <c r="AG10" s="771"/>
      <c r="AH10" s="771"/>
    </row>
    <row r="11" spans="1:34" ht="15" thickTop="1" x14ac:dyDescent="0.2">
      <c r="A11" s="805">
        <v>2321</v>
      </c>
      <c r="B11" s="764">
        <v>63</v>
      </c>
      <c r="C11" s="804" t="s">
        <v>421</v>
      </c>
      <c r="D11" s="762">
        <v>34000</v>
      </c>
      <c r="E11" s="762">
        <v>21659</v>
      </c>
      <c r="F11" s="762">
        <f>SUM(F29)</f>
        <v>20300</v>
      </c>
      <c r="G11" s="806">
        <f>F11/D11*100</f>
        <v>59.705882352941174</v>
      </c>
    </row>
    <row r="12" spans="1:34" ht="14.25" x14ac:dyDescent="0.2">
      <c r="A12" s="805">
        <v>2310</v>
      </c>
      <c r="B12" s="764">
        <v>63</v>
      </c>
      <c r="C12" s="804" t="s">
        <v>421</v>
      </c>
      <c r="D12" s="762">
        <v>0</v>
      </c>
      <c r="E12" s="762">
        <v>13300</v>
      </c>
      <c r="F12" s="762">
        <f>SUM(F32)</f>
        <v>12000</v>
      </c>
      <c r="G12" s="761"/>
    </row>
    <row r="13" spans="1:34" ht="15" thickBot="1" x14ac:dyDescent="0.25">
      <c r="A13" s="803">
        <v>2334</v>
      </c>
      <c r="B13" s="759">
        <v>63</v>
      </c>
      <c r="C13" s="802" t="s">
        <v>421</v>
      </c>
      <c r="D13" s="757">
        <v>0</v>
      </c>
      <c r="E13" s="757">
        <v>700</v>
      </c>
      <c r="F13" s="757">
        <f>SUM(F35)</f>
        <v>2000</v>
      </c>
      <c r="G13" s="756"/>
    </row>
    <row r="14" spans="1:34" ht="16.5" thickTop="1" thickBot="1" x14ac:dyDescent="0.25">
      <c r="A14" s="755" t="s">
        <v>159</v>
      </c>
      <c r="B14" s="754"/>
      <c r="C14" s="753"/>
      <c r="D14" s="752">
        <f>SUM(D11:D13)</f>
        <v>34000</v>
      </c>
      <c r="E14" s="752">
        <f>SUM(E11:E13)</f>
        <v>35659</v>
      </c>
      <c r="F14" s="752">
        <f>SUM(F11:F13)</f>
        <v>34300</v>
      </c>
      <c r="G14" s="751">
        <f>F14/D14*100</f>
        <v>100.88235294117646</v>
      </c>
    </row>
    <row r="15" spans="1:34" ht="13.5" thickTop="1" x14ac:dyDescent="0.2">
      <c r="C15" s="749"/>
      <c r="D15" s="749"/>
      <c r="E15" s="749"/>
      <c r="F15" s="749"/>
    </row>
    <row r="16" spans="1:34" x14ac:dyDescent="0.2">
      <c r="C16" s="749"/>
      <c r="D16" s="749"/>
      <c r="E16" s="749"/>
      <c r="F16" s="749"/>
    </row>
    <row r="17" spans="1:7" ht="15" x14ac:dyDescent="0.25">
      <c r="A17" s="750" t="s">
        <v>399</v>
      </c>
      <c r="C17" s="749"/>
      <c r="D17" s="749"/>
      <c r="E17" s="749"/>
      <c r="F17" s="749"/>
    </row>
    <row r="18" spans="1:7" ht="15" x14ac:dyDescent="0.25">
      <c r="A18" s="750"/>
      <c r="C18" s="749"/>
      <c r="D18" s="749"/>
      <c r="E18" s="749"/>
      <c r="F18" s="749"/>
    </row>
    <row r="19" spans="1:7" ht="18" customHeight="1" x14ac:dyDescent="0.2">
      <c r="A19" s="747"/>
      <c r="B19" s="746"/>
      <c r="C19" s="746"/>
      <c r="D19" s="746"/>
      <c r="E19" s="746"/>
      <c r="F19" s="746"/>
      <c r="G19" s="746"/>
    </row>
    <row r="20" spans="1:7" s="588" customFormat="1" ht="15.75" hidden="1" thickBot="1" x14ac:dyDescent="0.25">
      <c r="A20" s="740" t="s">
        <v>420</v>
      </c>
      <c r="B20" s="740"/>
      <c r="C20" s="739"/>
      <c r="D20" s="739"/>
      <c r="E20" s="739"/>
      <c r="F20" s="801">
        <f>F21</f>
        <v>30000</v>
      </c>
      <c r="G20" s="800" t="s">
        <v>98</v>
      </c>
    </row>
    <row r="21" spans="1:7" s="797" customFormat="1" ht="15" hidden="1" x14ac:dyDescent="0.2">
      <c r="A21" s="736" t="s">
        <v>419</v>
      </c>
      <c r="B21" s="736"/>
      <c r="C21" s="735"/>
      <c r="D21" s="735"/>
      <c r="E21" s="735"/>
      <c r="F21" s="799">
        <v>30000</v>
      </c>
      <c r="G21" s="798" t="s">
        <v>98</v>
      </c>
    </row>
    <row r="22" spans="1:7" ht="44.25" hidden="1" customHeight="1" x14ac:dyDescent="0.2">
      <c r="A22" s="1091" t="s">
        <v>418</v>
      </c>
      <c r="B22" s="1092"/>
      <c r="C22" s="1092"/>
      <c r="D22" s="1092"/>
      <c r="E22" s="1092"/>
      <c r="F22" s="1092"/>
      <c r="G22" s="1092"/>
    </row>
    <row r="23" spans="1:7" ht="28.5" customHeight="1" x14ac:dyDescent="0.25">
      <c r="A23" s="796" t="s">
        <v>191</v>
      </c>
      <c r="C23" s="1101" t="s">
        <v>417</v>
      </c>
      <c r="D23" s="1101"/>
      <c r="E23" s="1101"/>
      <c r="F23" s="1097">
        <f>SUM(F25:G27)</f>
        <v>34300</v>
      </c>
      <c r="G23" s="1098"/>
    </row>
    <row r="24" spans="1:7" s="787" customFormat="1" ht="14.25" customHeight="1" x14ac:dyDescent="0.2">
      <c r="A24" s="795" t="s">
        <v>193</v>
      </c>
      <c r="B24" s="794"/>
      <c r="C24" s="1102" t="s">
        <v>416</v>
      </c>
      <c r="D24" s="1102"/>
      <c r="E24" s="1102"/>
    </row>
    <row r="25" spans="1:7" s="787" customFormat="1" ht="14.25" x14ac:dyDescent="0.2">
      <c r="A25" s="795"/>
      <c r="B25" s="794"/>
      <c r="C25" s="1102"/>
      <c r="D25" s="1102"/>
      <c r="E25" s="1102"/>
      <c r="F25" s="1099">
        <v>20300</v>
      </c>
      <c r="G25" s="1100"/>
    </row>
    <row r="26" spans="1:7" s="787" customFormat="1" ht="15" customHeight="1" x14ac:dyDescent="0.2">
      <c r="A26" s="795"/>
      <c r="B26" s="794"/>
      <c r="C26" s="1102" t="s">
        <v>415</v>
      </c>
      <c r="D26" s="1102"/>
      <c r="E26" s="1102"/>
      <c r="F26" s="1099">
        <v>12000</v>
      </c>
      <c r="G26" s="1100"/>
    </row>
    <row r="27" spans="1:7" s="787" customFormat="1" ht="14.25" x14ac:dyDescent="0.2">
      <c r="A27" s="795"/>
      <c r="B27" s="794"/>
      <c r="C27" s="793" t="s">
        <v>414</v>
      </c>
      <c r="D27" s="792"/>
      <c r="E27" s="792"/>
      <c r="F27" s="1099">
        <v>2000</v>
      </c>
      <c r="G27" s="1100"/>
    </row>
    <row r="28" spans="1:7" s="787" customFormat="1" ht="14.25" x14ac:dyDescent="0.2">
      <c r="A28" s="795"/>
      <c r="B28" s="794"/>
      <c r="C28" s="793"/>
      <c r="D28" s="792"/>
      <c r="E28" s="792"/>
      <c r="F28" s="1099"/>
      <c r="G28" s="1100"/>
    </row>
    <row r="29" spans="1:7" s="588" customFormat="1" ht="15.75" thickBot="1" x14ac:dyDescent="0.3">
      <c r="A29" s="740" t="s">
        <v>413</v>
      </c>
      <c r="B29" s="740"/>
      <c r="C29" s="739"/>
      <c r="D29" s="739"/>
      <c r="E29" s="739"/>
      <c r="F29" s="1105">
        <f>SUM(F30:G30)</f>
        <v>20300</v>
      </c>
      <c r="G29" s="1105"/>
    </row>
    <row r="30" spans="1:7" s="787" customFormat="1" ht="17.25" customHeight="1" thickTop="1" x14ac:dyDescent="0.25">
      <c r="A30" s="791" t="s">
        <v>410</v>
      </c>
      <c r="B30" s="790"/>
      <c r="C30" s="789"/>
      <c r="D30" s="788"/>
      <c r="E30" s="788"/>
      <c r="F30" s="1103">
        <v>20300</v>
      </c>
      <c r="G30" s="1104"/>
    </row>
    <row r="32" spans="1:7" s="588" customFormat="1" ht="15.75" thickBot="1" x14ac:dyDescent="0.3">
      <c r="A32" s="740" t="s">
        <v>412</v>
      </c>
      <c r="B32" s="740"/>
      <c r="C32" s="739"/>
      <c r="D32" s="739"/>
      <c r="E32" s="739"/>
      <c r="F32" s="1105">
        <f>SUM(F33:G33)</f>
        <v>12000</v>
      </c>
      <c r="G32" s="1105"/>
    </row>
    <row r="33" spans="1:7" s="787" customFormat="1" ht="17.25" customHeight="1" thickTop="1" x14ac:dyDescent="0.25">
      <c r="A33" s="791" t="s">
        <v>410</v>
      </c>
      <c r="B33" s="790"/>
      <c r="C33" s="789"/>
      <c r="D33" s="788"/>
      <c r="E33" s="788"/>
      <c r="F33" s="1103">
        <v>12000</v>
      </c>
      <c r="G33" s="1104"/>
    </row>
    <row r="35" spans="1:7" s="588" customFormat="1" ht="15.75" thickBot="1" x14ac:dyDescent="0.3">
      <c r="A35" s="740" t="s">
        <v>411</v>
      </c>
      <c r="B35" s="740"/>
      <c r="C35" s="739"/>
      <c r="D35" s="739"/>
      <c r="E35" s="739"/>
      <c r="F35" s="1105">
        <f>SUM(F36:G36)</f>
        <v>2000</v>
      </c>
      <c r="G35" s="1105"/>
    </row>
    <row r="36" spans="1:7" s="787" customFormat="1" ht="17.25" customHeight="1" thickTop="1" x14ac:dyDescent="0.25">
      <c r="A36" s="791" t="s">
        <v>410</v>
      </c>
      <c r="B36" s="790"/>
      <c r="C36" s="789"/>
      <c r="D36" s="788"/>
      <c r="E36" s="788"/>
      <c r="F36" s="1103">
        <v>2000</v>
      </c>
      <c r="G36" s="1104"/>
    </row>
  </sheetData>
  <mergeCells count="16">
    <mergeCell ref="F33:G33"/>
    <mergeCell ref="F35:G35"/>
    <mergeCell ref="F36:G36"/>
    <mergeCell ref="A22:G22"/>
    <mergeCell ref="C26:E26"/>
    <mergeCell ref="F32:G32"/>
    <mergeCell ref="F30:G30"/>
    <mergeCell ref="F29:G29"/>
    <mergeCell ref="F26:G26"/>
    <mergeCell ref="F27:G27"/>
    <mergeCell ref="F28:G28"/>
    <mergeCell ref="A3:E4"/>
    <mergeCell ref="F23:G23"/>
    <mergeCell ref="F25:G25"/>
    <mergeCell ref="C23:E23"/>
    <mergeCell ref="C24:E25"/>
  </mergeCells>
  <pageMargins left="0.70866141732283472" right="0.70866141732283472" top="0.78740157480314965" bottom="0.78740157480314965" header="0.31496062992125984" footer="0.31496062992125984"/>
  <pageSetup paperSize="9" scale="72" firstPageNumber="17" fitToHeight="9999" orientation="portrait" useFirstPageNumber="1" r:id="rId1"/>
  <headerFooter>
    <oddFooter>&amp;L&amp;"Arial CE,Kurzíva"Zastupitelstvo Olomouckého kraje 21-12-2020
11. - Rozpočet Olomouckého kraje 2021 - návrh rozpočtu
Příloha č. 1: Návrh rozpočtu OK na rok 2021 (bilance) - zkrácená verze&amp;R&amp;"Arial CE,Kurzíva"Strana &amp;P (Celkem 150)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K196"/>
  <sheetViews>
    <sheetView view="pageBreakPreview" topLeftCell="A10" zoomScaleNormal="100" zoomScaleSheetLayoutView="100" workbookViewId="0">
      <selection activeCell="F26" sqref="F26"/>
    </sheetView>
  </sheetViews>
  <sheetFormatPr defaultColWidth="9.140625" defaultRowHeight="14.25" x14ac:dyDescent="0.2"/>
  <cols>
    <col min="1" max="1" width="5.5703125" style="912" customWidth="1"/>
    <col min="2" max="2" width="8.5703125" style="944" customWidth="1"/>
    <col min="3" max="3" width="9.140625" style="944"/>
    <col min="4" max="4" width="58.7109375" style="376" customWidth="1"/>
    <col min="5" max="5" width="14.140625" style="376" customWidth="1"/>
    <col min="6" max="6" width="14.140625" style="585" customWidth="1"/>
    <col min="7" max="7" width="15" style="585" customWidth="1"/>
    <col min="8" max="8" width="9.140625" style="376" customWidth="1"/>
    <col min="9" max="9" width="17.5703125" style="70" customWidth="1"/>
    <col min="10" max="12" width="9.140625" style="70"/>
    <col min="13" max="13" width="13.28515625" style="70" customWidth="1"/>
    <col min="14" max="14" width="9.140625" style="70"/>
    <col min="15" max="15" width="8.85546875" style="70" customWidth="1"/>
    <col min="16" max="37" width="9.140625" style="70"/>
    <col min="38" max="16384" width="9.140625" style="376"/>
  </cols>
  <sheetData>
    <row r="1" spans="1:37" ht="20.25" x14ac:dyDescent="0.3">
      <c r="B1" s="372" t="s">
        <v>501</v>
      </c>
      <c r="C1" s="51"/>
      <c r="D1" s="51"/>
      <c r="E1" s="51"/>
      <c r="F1" s="51"/>
      <c r="G1" s="373"/>
      <c r="H1" s="70"/>
    </row>
    <row r="2" spans="1:37" ht="15" x14ac:dyDescent="0.25">
      <c r="B2" s="51"/>
      <c r="C2" s="51"/>
      <c r="D2" s="51"/>
      <c r="E2" s="51"/>
      <c r="F2" s="51"/>
      <c r="G2" s="373"/>
      <c r="H2" s="70"/>
    </row>
    <row r="3" spans="1:37" x14ac:dyDescent="0.2">
      <c r="B3" s="914"/>
      <c r="C3" s="914"/>
      <c r="D3" s="70"/>
      <c r="E3" s="70"/>
      <c r="F3" s="373"/>
      <c r="G3" s="373"/>
      <c r="H3" s="70"/>
    </row>
    <row r="4" spans="1:37" ht="18" x14ac:dyDescent="0.25">
      <c r="B4" s="913" t="s">
        <v>513</v>
      </c>
      <c r="C4" s="51"/>
      <c r="D4" s="51"/>
      <c r="E4" s="51"/>
      <c r="F4" s="51"/>
      <c r="G4" s="373"/>
      <c r="H4" s="70"/>
    </row>
    <row r="5" spans="1:37" s="432" customFormat="1" ht="13.5" thickBot="1" x14ac:dyDescent="0.25">
      <c r="A5" s="912"/>
      <c r="B5" s="69"/>
      <c r="C5" s="69"/>
      <c r="D5" s="45"/>
      <c r="E5" s="45"/>
      <c r="F5" s="916"/>
      <c r="G5" s="916"/>
      <c r="H5" s="45" t="s">
        <v>126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7" s="432" customFormat="1" ht="39.75" thickTop="1" thickBot="1" x14ac:dyDescent="0.25">
      <c r="A6" s="912"/>
      <c r="B6" s="917" t="s">
        <v>127</v>
      </c>
      <c r="C6" s="918" t="s">
        <v>404</v>
      </c>
      <c r="D6" s="919" t="s">
        <v>129</v>
      </c>
      <c r="E6" s="336" t="s">
        <v>108</v>
      </c>
      <c r="F6" s="336" t="s">
        <v>130</v>
      </c>
      <c r="G6" s="336" t="s">
        <v>131</v>
      </c>
      <c r="H6" s="337" t="s">
        <v>2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s="926" customFormat="1" ht="13.5" thickTop="1" thickBot="1" x14ac:dyDescent="0.25">
      <c r="A7" s="920"/>
      <c r="B7" s="921">
        <v>1</v>
      </c>
      <c r="C7" s="922">
        <v>2</v>
      </c>
      <c r="D7" s="922">
        <v>3</v>
      </c>
      <c r="E7" s="923">
        <v>4</v>
      </c>
      <c r="F7" s="923">
        <v>5</v>
      </c>
      <c r="G7" s="923">
        <v>6</v>
      </c>
      <c r="H7" s="924" t="s">
        <v>132</v>
      </c>
      <c r="I7" s="925"/>
      <c r="J7" s="925"/>
      <c r="K7" s="925"/>
      <c r="L7" s="925"/>
      <c r="M7" s="925"/>
      <c r="N7" s="925"/>
      <c r="O7" s="925"/>
      <c r="P7" s="925"/>
      <c r="Q7" s="925"/>
      <c r="R7" s="925"/>
      <c r="S7" s="925"/>
      <c r="T7" s="925"/>
      <c r="U7" s="925"/>
      <c r="V7" s="925"/>
      <c r="W7" s="925"/>
      <c r="X7" s="925"/>
      <c r="Y7" s="925"/>
      <c r="Z7" s="925"/>
      <c r="AA7" s="925"/>
      <c r="AB7" s="925"/>
      <c r="AC7" s="925"/>
      <c r="AD7" s="925"/>
      <c r="AE7" s="925"/>
      <c r="AF7" s="925"/>
      <c r="AG7" s="925"/>
      <c r="AH7" s="925"/>
      <c r="AI7" s="925"/>
      <c r="AJ7" s="925"/>
      <c r="AK7" s="925"/>
    </row>
    <row r="8" spans="1:37" ht="15" thickTop="1" x14ac:dyDescent="0.2">
      <c r="B8" s="927"/>
      <c r="C8" s="928">
        <v>81</v>
      </c>
      <c r="D8" s="929" t="s">
        <v>493</v>
      </c>
      <c r="E8" s="930">
        <v>440593</v>
      </c>
      <c r="F8" s="930">
        <v>1022148</v>
      </c>
      <c r="G8" s="930">
        <f>SUM(G13)</f>
        <v>121000</v>
      </c>
      <c r="H8" s="931">
        <f>G8/E8*100</f>
        <v>27.462987382913482</v>
      </c>
    </row>
    <row r="9" spans="1:37" ht="15" thickBot="1" x14ac:dyDescent="0.25">
      <c r="B9" s="932"/>
      <c r="C9" s="933">
        <v>81</v>
      </c>
      <c r="D9" s="934" t="s">
        <v>493</v>
      </c>
      <c r="E9" s="935"/>
      <c r="F9" s="935">
        <v>509117</v>
      </c>
      <c r="G9" s="935">
        <f>SUM(G18)</f>
        <v>500000</v>
      </c>
      <c r="H9" s="936"/>
    </row>
    <row r="10" spans="1:37" s="556" customFormat="1" ht="16.5" thickTop="1" thickBot="1" x14ac:dyDescent="0.3">
      <c r="A10" s="937"/>
      <c r="B10" s="1111" t="s">
        <v>159</v>
      </c>
      <c r="C10" s="1112"/>
      <c r="D10" s="1113"/>
      <c r="E10" s="938">
        <f>SUM(E8:E9)</f>
        <v>440593</v>
      </c>
      <c r="F10" s="938">
        <f t="shared" ref="F10:G10" si="0">SUM(F8:F9)</f>
        <v>1531265</v>
      </c>
      <c r="G10" s="938">
        <f t="shared" si="0"/>
        <v>621000</v>
      </c>
      <c r="H10" s="939">
        <f>G10/E10*100</f>
        <v>140.94640632057249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</row>
    <row r="11" spans="1:37" ht="15" thickTop="1" x14ac:dyDescent="0.2">
      <c r="B11" s="914"/>
      <c r="C11" s="914"/>
      <c r="D11" s="70"/>
      <c r="E11" s="70"/>
      <c r="F11" s="373"/>
      <c r="G11" s="373"/>
      <c r="H11" s="70"/>
    </row>
    <row r="12" spans="1:37" ht="15" x14ac:dyDescent="0.25">
      <c r="B12" s="940" t="s">
        <v>399</v>
      </c>
      <c r="C12" s="914"/>
      <c r="D12" s="70"/>
      <c r="E12" s="70"/>
      <c r="F12" s="373"/>
      <c r="G12" s="373"/>
      <c r="H12" s="70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376"/>
      <c r="X12" s="376"/>
      <c r="Y12" s="376"/>
      <c r="Z12" s="376"/>
      <c r="AA12" s="376"/>
      <c r="AB12" s="376"/>
      <c r="AC12" s="376"/>
      <c r="AD12" s="376"/>
      <c r="AE12" s="376"/>
      <c r="AF12" s="376"/>
      <c r="AG12" s="376"/>
      <c r="AH12" s="376"/>
      <c r="AI12" s="376"/>
      <c r="AJ12" s="376"/>
      <c r="AK12" s="376"/>
    </row>
    <row r="13" spans="1:37" ht="30" customHeight="1" thickBot="1" x14ac:dyDescent="0.3">
      <c r="A13" s="912">
        <v>8115</v>
      </c>
      <c r="B13" s="1114" t="s">
        <v>494</v>
      </c>
      <c r="C13" s="1115"/>
      <c r="D13" s="1115"/>
      <c r="E13" s="1115"/>
      <c r="F13" s="1115"/>
      <c r="G13" s="1116">
        <f>SUM(G14:H16)</f>
        <v>121000</v>
      </c>
      <c r="H13" s="1116"/>
      <c r="I13" s="941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6"/>
      <c r="AD13" s="376"/>
      <c r="AE13" s="376"/>
      <c r="AF13" s="376"/>
      <c r="AG13" s="376"/>
      <c r="AH13" s="376"/>
      <c r="AI13" s="376"/>
      <c r="AJ13" s="376"/>
      <c r="AK13" s="376"/>
    </row>
    <row r="14" spans="1:37" s="70" customFormat="1" ht="15.75" thickTop="1" x14ac:dyDescent="0.25">
      <c r="A14" s="942"/>
      <c r="B14" s="943" t="s">
        <v>495</v>
      </c>
      <c r="C14" s="914"/>
      <c r="F14" s="373"/>
      <c r="G14" s="1119">
        <v>19000</v>
      </c>
      <c r="H14" s="1122"/>
      <c r="I14" s="941"/>
    </row>
    <row r="15" spans="1:37" s="70" customFormat="1" ht="15" x14ac:dyDescent="0.25">
      <c r="A15" s="942"/>
      <c r="B15" s="943" t="s">
        <v>496</v>
      </c>
      <c r="C15" s="914"/>
      <c r="F15" s="373"/>
      <c r="G15" s="1119">
        <v>2000</v>
      </c>
      <c r="H15" s="1122"/>
      <c r="I15" s="941"/>
    </row>
    <row r="16" spans="1:37" s="70" customFormat="1" ht="15" x14ac:dyDescent="0.25">
      <c r="A16" s="942"/>
      <c r="B16" s="943" t="s">
        <v>497</v>
      </c>
      <c r="C16" s="914"/>
      <c r="F16" s="373"/>
      <c r="G16" s="1119">
        <v>100000</v>
      </c>
      <c r="H16" s="1122"/>
      <c r="I16" s="941"/>
    </row>
    <row r="17" spans="1:37" s="70" customFormat="1" x14ac:dyDescent="0.2">
      <c r="A17" s="942"/>
      <c r="B17" s="914"/>
      <c r="C17" s="914"/>
      <c r="F17" s="373"/>
      <c r="G17" s="373"/>
    </row>
    <row r="18" spans="1:37" ht="30" customHeight="1" thickBot="1" x14ac:dyDescent="0.3">
      <c r="A18" s="912">
        <v>8123</v>
      </c>
      <c r="B18" s="1114" t="s">
        <v>498</v>
      </c>
      <c r="C18" s="1115"/>
      <c r="D18" s="1115"/>
      <c r="E18" s="1115"/>
      <c r="F18" s="1115"/>
      <c r="G18" s="1116">
        <f>SUM(G19:H20)</f>
        <v>500000</v>
      </c>
      <c r="H18" s="1116"/>
      <c r="I18" s="941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376"/>
      <c r="AG18" s="376"/>
      <c r="AH18" s="376"/>
      <c r="AI18" s="376"/>
      <c r="AJ18" s="376"/>
      <c r="AK18" s="376"/>
    </row>
    <row r="19" spans="1:37" s="70" customFormat="1" ht="15.75" thickTop="1" x14ac:dyDescent="0.25">
      <c r="A19" s="942"/>
      <c r="B19" s="943" t="s">
        <v>499</v>
      </c>
      <c r="C19" s="914"/>
      <c r="F19" s="373"/>
      <c r="G19" s="1119">
        <v>100000</v>
      </c>
      <c r="H19" s="1122"/>
      <c r="I19" s="941"/>
    </row>
    <row r="20" spans="1:37" s="70" customFormat="1" ht="15" x14ac:dyDescent="0.25">
      <c r="A20" s="942"/>
      <c r="B20" s="943" t="s">
        <v>500</v>
      </c>
      <c r="C20" s="914"/>
      <c r="F20" s="373"/>
      <c r="G20" s="1119">
        <v>400000</v>
      </c>
      <c r="H20" s="1122"/>
      <c r="I20" s="941"/>
    </row>
    <row r="21" spans="1:37" s="70" customFormat="1" ht="15" x14ac:dyDescent="0.25">
      <c r="A21" s="942"/>
      <c r="B21" s="943"/>
      <c r="C21" s="914"/>
      <c r="F21" s="373"/>
      <c r="G21" s="957"/>
      <c r="H21" s="958"/>
      <c r="I21" s="941"/>
    </row>
    <row r="22" spans="1:37" s="70" customFormat="1" ht="15" x14ac:dyDescent="0.25">
      <c r="A22" s="942"/>
      <c r="B22" s="943"/>
      <c r="C22" s="914"/>
      <c r="F22" s="373"/>
      <c r="G22" s="957"/>
      <c r="H22" s="958"/>
      <c r="I22" s="941"/>
    </row>
    <row r="23" spans="1:37" s="70" customFormat="1" x14ac:dyDescent="0.2">
      <c r="A23" s="942"/>
      <c r="B23" s="914"/>
      <c r="C23" s="914"/>
      <c r="F23" s="373"/>
      <c r="G23" s="373"/>
    </row>
    <row r="24" spans="1:37" s="70" customFormat="1" x14ac:dyDescent="0.2">
      <c r="A24" s="942"/>
      <c r="B24" s="914"/>
      <c r="C24" s="914"/>
      <c r="F24" s="373"/>
      <c r="G24" s="373"/>
    </row>
    <row r="25" spans="1:37" s="70" customFormat="1" ht="18" x14ac:dyDescent="0.25">
      <c r="A25" s="942"/>
      <c r="B25" s="913" t="s">
        <v>512</v>
      </c>
      <c r="C25" s="51"/>
      <c r="D25" s="51"/>
      <c r="E25" s="51"/>
      <c r="F25" s="51"/>
      <c r="G25" s="373"/>
    </row>
    <row r="26" spans="1:37" s="70" customFormat="1" ht="15.75" thickBot="1" x14ac:dyDescent="0.3">
      <c r="A26" s="942"/>
      <c r="B26" s="51"/>
      <c r="C26" s="51"/>
      <c r="D26" s="51"/>
      <c r="E26" s="51"/>
      <c r="F26" s="51"/>
      <c r="G26" s="373"/>
    </row>
    <row r="27" spans="1:37" s="70" customFormat="1" ht="39.75" thickTop="1" thickBot="1" x14ac:dyDescent="0.25">
      <c r="A27" s="942"/>
      <c r="B27" s="917" t="s">
        <v>127</v>
      </c>
      <c r="C27" s="918" t="s">
        <v>404</v>
      </c>
      <c r="D27" s="919" t="s">
        <v>129</v>
      </c>
      <c r="E27" s="336" t="s">
        <v>108</v>
      </c>
      <c r="F27" s="336" t="s">
        <v>502</v>
      </c>
      <c r="G27" s="336" t="s">
        <v>131</v>
      </c>
      <c r="H27" s="337" t="s">
        <v>2</v>
      </c>
    </row>
    <row r="28" spans="1:37" s="70" customFormat="1" ht="15.75" thickTop="1" thickBot="1" x14ac:dyDescent="0.25">
      <c r="A28" s="942"/>
      <c r="B28" s="921">
        <v>1</v>
      </c>
      <c r="C28" s="922">
        <v>2</v>
      </c>
      <c r="D28" s="922">
        <v>3</v>
      </c>
      <c r="E28" s="923">
        <v>4</v>
      </c>
      <c r="F28" s="923">
        <v>5</v>
      </c>
      <c r="G28" s="923">
        <v>6</v>
      </c>
      <c r="H28" s="924" t="s">
        <v>132</v>
      </c>
    </row>
    <row r="29" spans="1:37" s="70" customFormat="1" ht="15" thickTop="1" x14ac:dyDescent="0.2">
      <c r="A29" s="942"/>
      <c r="B29" s="945"/>
      <c r="C29" s="946">
        <v>81</v>
      </c>
      <c r="D29" s="947" t="s">
        <v>493</v>
      </c>
      <c r="E29" s="948">
        <v>159849</v>
      </c>
      <c r="F29" s="948">
        <v>159849</v>
      </c>
      <c r="G29" s="948">
        <f>SUM(G34)</f>
        <v>334849</v>
      </c>
      <c r="H29" s="949">
        <f>G29/E29*100</f>
        <v>209.47832016465537</v>
      </c>
    </row>
    <row r="30" spans="1:37" s="70" customFormat="1" ht="15" thickBot="1" x14ac:dyDescent="0.25">
      <c r="A30" s="942"/>
      <c r="B30" s="945"/>
      <c r="C30" s="946">
        <v>82</v>
      </c>
      <c r="D30" s="498" t="s">
        <v>503</v>
      </c>
      <c r="E30" s="948">
        <v>186492</v>
      </c>
      <c r="F30" s="948">
        <v>186492</v>
      </c>
      <c r="G30" s="948">
        <f>SUM(G40)</f>
        <v>186492</v>
      </c>
      <c r="H30" s="949">
        <f>G30/E30*100</f>
        <v>100</v>
      </c>
    </row>
    <row r="31" spans="1:37" s="70" customFormat="1" ht="16.5" thickTop="1" thickBot="1" x14ac:dyDescent="0.3">
      <c r="A31" s="942"/>
      <c r="B31" s="1111" t="s">
        <v>159</v>
      </c>
      <c r="C31" s="1112"/>
      <c r="D31" s="1113"/>
      <c r="E31" s="938">
        <f>SUM(E29:E30)</f>
        <v>346341</v>
      </c>
      <c r="F31" s="938">
        <f>SUM(F29:F30)</f>
        <v>346341</v>
      </c>
      <c r="G31" s="938">
        <f>SUM(G29:G30)</f>
        <v>521341</v>
      </c>
      <c r="H31" s="939">
        <f>G31/E31*100</f>
        <v>150.52823662228846</v>
      </c>
    </row>
    <row r="32" spans="1:37" s="70" customFormat="1" ht="15" thickTop="1" x14ac:dyDescent="0.2">
      <c r="A32" s="942"/>
      <c r="B32" s="914"/>
      <c r="C32" s="914"/>
      <c r="F32" s="373"/>
      <c r="G32" s="373"/>
    </row>
    <row r="33" spans="1:8" s="70" customFormat="1" ht="15" x14ac:dyDescent="0.25">
      <c r="A33" s="942"/>
      <c r="B33" s="940" t="s">
        <v>399</v>
      </c>
      <c r="C33" s="950"/>
      <c r="D33" s="951"/>
      <c r="E33" s="951"/>
      <c r="F33" s="374"/>
      <c r="G33" s="374"/>
      <c r="H33" s="951"/>
    </row>
    <row r="34" spans="1:8" s="70" customFormat="1" ht="15.75" thickBot="1" x14ac:dyDescent="0.3">
      <c r="A34" s="942"/>
      <c r="B34" s="1114" t="s">
        <v>504</v>
      </c>
      <c r="C34" s="1115"/>
      <c r="D34" s="1115"/>
      <c r="E34" s="1115"/>
      <c r="F34" s="1115"/>
      <c r="G34" s="1116">
        <f>SUM(G35)</f>
        <v>334849</v>
      </c>
      <c r="H34" s="1116"/>
    </row>
    <row r="35" spans="1:8" s="70" customFormat="1" ht="15.75" thickTop="1" x14ac:dyDescent="0.25">
      <c r="A35" s="942"/>
      <c r="B35" s="952" t="s">
        <v>505</v>
      </c>
      <c r="C35" s="914"/>
      <c r="F35" s="373"/>
      <c r="G35" s="1117">
        <f>SUM(G36:H38)</f>
        <v>334849</v>
      </c>
      <c r="H35" s="1118"/>
    </row>
    <row r="36" spans="1:8" s="70" customFormat="1" ht="15" x14ac:dyDescent="0.25">
      <c r="A36" s="942"/>
      <c r="B36" s="915" t="s">
        <v>506</v>
      </c>
      <c r="C36" s="914"/>
      <c r="F36" s="373"/>
      <c r="G36" s="1119">
        <v>66667</v>
      </c>
      <c r="H36" s="1120"/>
    </row>
    <row r="37" spans="1:8" s="70" customFormat="1" ht="15" x14ac:dyDescent="0.25">
      <c r="A37" s="942"/>
      <c r="B37" s="915" t="s">
        <v>507</v>
      </c>
      <c r="C37" s="914"/>
      <c r="F37" s="373"/>
      <c r="G37" s="1119">
        <v>18182</v>
      </c>
      <c r="H37" s="1120"/>
    </row>
    <row r="38" spans="1:8" s="70" customFormat="1" ht="15" x14ac:dyDescent="0.25">
      <c r="A38" s="942"/>
      <c r="B38" s="915" t="s">
        <v>508</v>
      </c>
      <c r="C38" s="914"/>
      <c r="F38" s="373"/>
      <c r="G38" s="1119">
        <v>250000</v>
      </c>
      <c r="H38" s="1121"/>
    </row>
    <row r="39" spans="1:8" s="70" customFormat="1" ht="15" x14ac:dyDescent="0.25">
      <c r="A39" s="942"/>
      <c r="B39" s="952"/>
      <c r="C39" s="914"/>
      <c r="F39" s="373"/>
      <c r="G39" s="373"/>
    </row>
    <row r="40" spans="1:8" s="70" customFormat="1" ht="15.75" thickBot="1" x14ac:dyDescent="0.3">
      <c r="A40" s="942"/>
      <c r="B40" s="1114" t="s">
        <v>509</v>
      </c>
      <c r="C40" s="1115"/>
      <c r="D40" s="1115"/>
      <c r="E40" s="1115"/>
      <c r="F40" s="1115"/>
      <c r="G40" s="1116">
        <f>SUM(G41)</f>
        <v>186492</v>
      </c>
      <c r="H40" s="1116"/>
    </row>
    <row r="41" spans="1:8" s="70" customFormat="1" ht="15.75" thickTop="1" x14ac:dyDescent="0.25">
      <c r="A41" s="942"/>
      <c r="B41" s="952" t="s">
        <v>505</v>
      </c>
      <c r="C41" s="914"/>
      <c r="F41" s="373"/>
      <c r="G41" s="1117">
        <f>SUM(G42:H43)</f>
        <v>186492</v>
      </c>
      <c r="H41" s="1118"/>
    </row>
    <row r="42" spans="1:8" s="70" customFormat="1" ht="15" x14ac:dyDescent="0.25">
      <c r="A42" s="942"/>
      <c r="B42" s="953" t="s">
        <v>510</v>
      </c>
      <c r="C42" s="954"/>
      <c r="D42" s="955"/>
      <c r="E42" s="955"/>
      <c r="F42" s="956"/>
      <c r="G42" s="1119">
        <v>43634</v>
      </c>
      <c r="H42" s="1120"/>
    </row>
    <row r="43" spans="1:8" s="70" customFormat="1" ht="15" x14ac:dyDescent="0.25">
      <c r="A43" s="942"/>
      <c r="B43" s="1106" t="s">
        <v>511</v>
      </c>
      <c r="C43" s="1107"/>
      <c r="D43" s="1107"/>
      <c r="E43" s="1107"/>
      <c r="F43" s="1108"/>
      <c r="G43" s="1109">
        <v>142858</v>
      </c>
      <c r="H43" s="1110"/>
    </row>
    <row r="44" spans="1:8" s="70" customFormat="1" x14ac:dyDescent="0.2">
      <c r="A44" s="942"/>
      <c r="B44" s="914"/>
      <c r="C44" s="914"/>
      <c r="F44" s="373"/>
      <c r="G44" s="373"/>
    </row>
    <row r="45" spans="1:8" s="70" customFormat="1" x14ac:dyDescent="0.2">
      <c r="A45" s="942"/>
      <c r="B45" s="950"/>
      <c r="C45" s="950"/>
      <c r="D45" s="951"/>
      <c r="E45" s="951"/>
      <c r="F45" s="374"/>
      <c r="G45" s="374"/>
      <c r="H45" s="951"/>
    </row>
    <row r="46" spans="1:8" s="70" customFormat="1" x14ac:dyDescent="0.2">
      <c r="A46" s="942"/>
      <c r="B46" s="914"/>
      <c r="C46" s="914"/>
      <c r="F46" s="373"/>
      <c r="G46" s="373"/>
    </row>
    <row r="47" spans="1:8" s="70" customFormat="1" x14ac:dyDescent="0.2">
      <c r="A47" s="942"/>
      <c r="B47" s="914"/>
      <c r="C47" s="914"/>
      <c r="F47" s="373"/>
      <c r="G47" s="373"/>
    </row>
    <row r="48" spans="1:8" s="70" customFormat="1" x14ac:dyDescent="0.2">
      <c r="A48" s="942"/>
      <c r="B48" s="914"/>
      <c r="C48" s="914"/>
      <c r="F48" s="373"/>
      <c r="G48" s="373"/>
    </row>
    <row r="49" spans="1:7" s="70" customFormat="1" x14ac:dyDescent="0.2">
      <c r="A49" s="942"/>
      <c r="B49" s="914"/>
      <c r="C49" s="914"/>
      <c r="F49" s="373"/>
      <c r="G49" s="373"/>
    </row>
    <row r="50" spans="1:7" s="70" customFormat="1" x14ac:dyDescent="0.2">
      <c r="A50" s="942"/>
      <c r="B50" s="914"/>
      <c r="C50" s="914"/>
      <c r="F50" s="373"/>
      <c r="G50" s="373"/>
    </row>
    <row r="51" spans="1:7" s="70" customFormat="1" x14ac:dyDescent="0.2">
      <c r="A51" s="942"/>
      <c r="B51" s="914"/>
      <c r="C51" s="914"/>
      <c r="F51" s="373"/>
      <c r="G51" s="373"/>
    </row>
    <row r="52" spans="1:7" s="70" customFormat="1" x14ac:dyDescent="0.2">
      <c r="A52" s="942"/>
      <c r="B52" s="914"/>
      <c r="C52" s="914"/>
      <c r="F52" s="373"/>
      <c r="G52" s="373"/>
    </row>
    <row r="53" spans="1:7" s="70" customFormat="1" x14ac:dyDescent="0.2">
      <c r="A53" s="942"/>
      <c r="B53" s="914"/>
      <c r="C53" s="914"/>
      <c r="F53" s="373"/>
      <c r="G53" s="373"/>
    </row>
    <row r="54" spans="1:7" s="70" customFormat="1" x14ac:dyDescent="0.2">
      <c r="A54" s="942"/>
      <c r="B54" s="914"/>
      <c r="C54" s="914"/>
      <c r="F54" s="373"/>
      <c r="G54" s="373"/>
    </row>
    <row r="55" spans="1:7" s="70" customFormat="1" x14ac:dyDescent="0.2">
      <c r="A55" s="942"/>
      <c r="B55" s="914"/>
      <c r="C55" s="914"/>
      <c r="F55" s="373"/>
      <c r="G55" s="373"/>
    </row>
    <row r="56" spans="1:7" s="70" customFormat="1" x14ac:dyDescent="0.2">
      <c r="A56" s="942"/>
      <c r="B56" s="914"/>
      <c r="C56" s="914"/>
      <c r="F56" s="373"/>
      <c r="G56" s="373"/>
    </row>
    <row r="57" spans="1:7" s="70" customFormat="1" x14ac:dyDescent="0.2">
      <c r="A57" s="942"/>
      <c r="B57" s="914"/>
      <c r="C57" s="914"/>
      <c r="F57" s="373"/>
      <c r="G57" s="373"/>
    </row>
    <row r="58" spans="1:7" s="70" customFormat="1" x14ac:dyDescent="0.2">
      <c r="A58" s="942"/>
      <c r="B58" s="914"/>
      <c r="C58" s="914"/>
      <c r="F58" s="373"/>
      <c r="G58" s="373"/>
    </row>
    <row r="59" spans="1:7" s="70" customFormat="1" x14ac:dyDescent="0.2">
      <c r="A59" s="942"/>
      <c r="B59" s="914"/>
      <c r="C59" s="914"/>
      <c r="F59" s="373"/>
      <c r="G59" s="373"/>
    </row>
    <row r="60" spans="1:7" s="70" customFormat="1" x14ac:dyDescent="0.2">
      <c r="A60" s="942"/>
      <c r="B60" s="914"/>
      <c r="C60" s="914"/>
      <c r="F60" s="373"/>
      <c r="G60" s="373"/>
    </row>
    <row r="61" spans="1:7" s="70" customFormat="1" x14ac:dyDescent="0.2">
      <c r="A61" s="942"/>
      <c r="B61" s="914"/>
      <c r="C61" s="914"/>
      <c r="F61" s="373"/>
      <c r="G61" s="373"/>
    </row>
    <row r="62" spans="1:7" s="70" customFormat="1" x14ac:dyDescent="0.2">
      <c r="A62" s="942"/>
      <c r="B62" s="914"/>
      <c r="C62" s="914"/>
      <c r="F62" s="373"/>
      <c r="G62" s="373"/>
    </row>
    <row r="63" spans="1:7" s="70" customFormat="1" x14ac:dyDescent="0.2">
      <c r="A63" s="942"/>
      <c r="B63" s="914"/>
      <c r="C63" s="914"/>
      <c r="F63" s="373"/>
      <c r="G63" s="373"/>
    </row>
    <row r="64" spans="1:7" s="70" customFormat="1" x14ac:dyDescent="0.2">
      <c r="A64" s="942"/>
      <c r="B64" s="914"/>
      <c r="C64" s="914"/>
      <c r="F64" s="373"/>
      <c r="G64" s="373"/>
    </row>
    <row r="65" spans="1:7" s="70" customFormat="1" x14ac:dyDescent="0.2">
      <c r="A65" s="942"/>
      <c r="B65" s="914"/>
      <c r="C65" s="914"/>
      <c r="F65" s="373"/>
      <c r="G65" s="373"/>
    </row>
    <row r="66" spans="1:7" s="70" customFormat="1" x14ac:dyDescent="0.2">
      <c r="A66" s="942"/>
      <c r="B66" s="914"/>
      <c r="C66" s="914"/>
      <c r="F66" s="373"/>
      <c r="G66" s="373"/>
    </row>
    <row r="67" spans="1:7" s="70" customFormat="1" x14ac:dyDescent="0.2">
      <c r="A67" s="942"/>
      <c r="B67" s="914"/>
      <c r="C67" s="914"/>
      <c r="F67" s="373"/>
      <c r="G67" s="373"/>
    </row>
    <row r="68" spans="1:7" s="70" customFormat="1" x14ac:dyDescent="0.2">
      <c r="A68" s="942"/>
      <c r="B68" s="914"/>
      <c r="C68" s="914"/>
      <c r="F68" s="373"/>
      <c r="G68" s="373"/>
    </row>
    <row r="69" spans="1:7" s="70" customFormat="1" x14ac:dyDescent="0.2">
      <c r="A69" s="942"/>
      <c r="B69" s="914"/>
      <c r="C69" s="914"/>
      <c r="F69" s="373"/>
      <c r="G69" s="373"/>
    </row>
    <row r="70" spans="1:7" s="70" customFormat="1" x14ac:dyDescent="0.2">
      <c r="A70" s="942"/>
      <c r="B70" s="914"/>
      <c r="C70" s="914"/>
      <c r="F70" s="373"/>
      <c r="G70" s="373"/>
    </row>
    <row r="71" spans="1:7" s="70" customFormat="1" x14ac:dyDescent="0.2">
      <c r="A71" s="942"/>
      <c r="B71" s="914"/>
      <c r="C71" s="914"/>
      <c r="F71" s="373"/>
      <c r="G71" s="373"/>
    </row>
    <row r="72" spans="1:7" s="70" customFormat="1" x14ac:dyDescent="0.2">
      <c r="A72" s="942"/>
      <c r="B72" s="914"/>
      <c r="C72" s="914"/>
      <c r="F72" s="373"/>
      <c r="G72" s="373"/>
    </row>
    <row r="73" spans="1:7" s="70" customFormat="1" x14ac:dyDescent="0.2">
      <c r="A73" s="942"/>
      <c r="B73" s="914"/>
      <c r="C73" s="914"/>
      <c r="F73" s="373"/>
      <c r="G73" s="373"/>
    </row>
    <row r="74" spans="1:7" s="70" customFormat="1" x14ac:dyDescent="0.2">
      <c r="A74" s="942"/>
      <c r="B74" s="914"/>
      <c r="C74" s="914"/>
      <c r="F74" s="373"/>
      <c r="G74" s="373"/>
    </row>
    <row r="75" spans="1:7" s="70" customFormat="1" x14ac:dyDescent="0.2">
      <c r="A75" s="942"/>
      <c r="B75" s="914"/>
      <c r="C75" s="914"/>
      <c r="F75" s="373"/>
      <c r="G75" s="373"/>
    </row>
    <row r="76" spans="1:7" s="70" customFormat="1" x14ac:dyDescent="0.2">
      <c r="A76" s="942"/>
      <c r="B76" s="914"/>
      <c r="C76" s="914"/>
      <c r="F76" s="373"/>
      <c r="G76" s="373"/>
    </row>
    <row r="77" spans="1:7" s="70" customFormat="1" x14ac:dyDescent="0.2">
      <c r="A77" s="942"/>
      <c r="B77" s="914"/>
      <c r="C77" s="914"/>
      <c r="F77" s="373"/>
      <c r="G77" s="373"/>
    </row>
    <row r="78" spans="1:7" s="70" customFormat="1" x14ac:dyDescent="0.2">
      <c r="A78" s="942"/>
      <c r="B78" s="914"/>
      <c r="C78" s="914"/>
      <c r="F78" s="373"/>
      <c r="G78" s="373"/>
    </row>
    <row r="79" spans="1:7" s="70" customFormat="1" x14ac:dyDescent="0.2">
      <c r="A79" s="942"/>
      <c r="B79" s="914"/>
      <c r="C79" s="914"/>
      <c r="F79" s="373"/>
      <c r="G79" s="373"/>
    </row>
    <row r="80" spans="1:7" s="70" customFormat="1" x14ac:dyDescent="0.2">
      <c r="A80" s="942"/>
      <c r="B80" s="914"/>
      <c r="C80" s="914"/>
      <c r="F80" s="373"/>
      <c r="G80" s="373"/>
    </row>
    <row r="81" spans="1:7" s="70" customFormat="1" x14ac:dyDescent="0.2">
      <c r="A81" s="942"/>
      <c r="B81" s="914"/>
      <c r="C81" s="914"/>
      <c r="F81" s="373"/>
      <c r="G81" s="373"/>
    </row>
    <row r="82" spans="1:7" s="70" customFormat="1" x14ac:dyDescent="0.2">
      <c r="A82" s="942"/>
      <c r="B82" s="914"/>
      <c r="C82" s="914"/>
      <c r="F82" s="373"/>
      <c r="G82" s="373"/>
    </row>
    <row r="83" spans="1:7" s="70" customFormat="1" x14ac:dyDescent="0.2">
      <c r="A83" s="942"/>
      <c r="B83" s="914"/>
      <c r="C83" s="914"/>
      <c r="F83" s="373"/>
      <c r="G83" s="373"/>
    </row>
    <row r="84" spans="1:7" s="70" customFormat="1" x14ac:dyDescent="0.2">
      <c r="A84" s="942"/>
      <c r="B84" s="914"/>
      <c r="C84" s="914"/>
      <c r="F84" s="373"/>
      <c r="G84" s="373"/>
    </row>
    <row r="85" spans="1:7" s="70" customFormat="1" x14ac:dyDescent="0.2">
      <c r="A85" s="942"/>
      <c r="B85" s="914"/>
      <c r="C85" s="914"/>
      <c r="F85" s="373"/>
      <c r="G85" s="373"/>
    </row>
    <row r="86" spans="1:7" s="70" customFormat="1" x14ac:dyDescent="0.2">
      <c r="A86" s="942"/>
      <c r="B86" s="914"/>
      <c r="C86" s="914"/>
      <c r="F86" s="373"/>
      <c r="G86" s="373"/>
    </row>
    <row r="87" spans="1:7" s="70" customFormat="1" x14ac:dyDescent="0.2">
      <c r="A87" s="942"/>
      <c r="B87" s="914"/>
      <c r="C87" s="914"/>
      <c r="F87" s="373"/>
      <c r="G87" s="373"/>
    </row>
    <row r="88" spans="1:7" s="70" customFormat="1" x14ac:dyDescent="0.2">
      <c r="A88" s="942"/>
      <c r="B88" s="914"/>
      <c r="C88" s="914"/>
      <c r="F88" s="373"/>
      <c r="G88" s="373"/>
    </row>
    <row r="89" spans="1:7" s="70" customFormat="1" x14ac:dyDescent="0.2">
      <c r="A89" s="942"/>
      <c r="B89" s="914"/>
      <c r="C89" s="914"/>
      <c r="F89" s="373"/>
      <c r="G89" s="373"/>
    </row>
    <row r="90" spans="1:7" s="70" customFormat="1" x14ac:dyDescent="0.2">
      <c r="A90" s="942"/>
      <c r="B90" s="914"/>
      <c r="C90" s="914"/>
      <c r="F90" s="373"/>
      <c r="G90" s="373"/>
    </row>
    <row r="91" spans="1:7" s="70" customFormat="1" x14ac:dyDescent="0.2">
      <c r="A91" s="942"/>
      <c r="B91" s="914"/>
      <c r="C91" s="914"/>
      <c r="F91" s="373"/>
      <c r="G91" s="373"/>
    </row>
    <row r="92" spans="1:7" s="70" customFormat="1" x14ac:dyDescent="0.2">
      <c r="A92" s="942"/>
      <c r="B92" s="914"/>
      <c r="C92" s="914"/>
      <c r="F92" s="373"/>
      <c r="G92" s="373"/>
    </row>
    <row r="93" spans="1:7" s="70" customFormat="1" x14ac:dyDescent="0.2">
      <c r="A93" s="942"/>
      <c r="B93" s="914"/>
      <c r="C93" s="914"/>
      <c r="F93" s="373"/>
      <c r="G93" s="373"/>
    </row>
    <row r="94" spans="1:7" s="70" customFormat="1" x14ac:dyDescent="0.2">
      <c r="A94" s="942"/>
      <c r="B94" s="914"/>
      <c r="C94" s="914"/>
      <c r="F94" s="373"/>
      <c r="G94" s="373"/>
    </row>
    <row r="95" spans="1:7" s="70" customFormat="1" x14ac:dyDescent="0.2">
      <c r="A95" s="942"/>
      <c r="B95" s="914"/>
      <c r="C95" s="914"/>
      <c r="F95" s="373"/>
      <c r="G95" s="373"/>
    </row>
    <row r="96" spans="1:7" s="70" customFormat="1" x14ac:dyDescent="0.2">
      <c r="A96" s="942"/>
      <c r="B96" s="914"/>
      <c r="C96" s="914"/>
      <c r="F96" s="373"/>
      <c r="G96" s="373"/>
    </row>
    <row r="97" spans="1:7" s="70" customFormat="1" x14ac:dyDescent="0.2">
      <c r="A97" s="942"/>
      <c r="B97" s="914"/>
      <c r="C97" s="914"/>
      <c r="F97" s="373"/>
      <c r="G97" s="373"/>
    </row>
    <row r="98" spans="1:7" s="70" customFormat="1" x14ac:dyDescent="0.2">
      <c r="A98" s="942"/>
      <c r="B98" s="914"/>
      <c r="C98" s="914"/>
      <c r="F98" s="373"/>
      <c r="G98" s="373"/>
    </row>
    <row r="99" spans="1:7" s="70" customFormat="1" x14ac:dyDescent="0.2">
      <c r="A99" s="942"/>
      <c r="B99" s="914"/>
      <c r="C99" s="914"/>
      <c r="F99" s="373"/>
      <c r="G99" s="373"/>
    </row>
    <row r="100" spans="1:7" s="70" customFormat="1" x14ac:dyDescent="0.2">
      <c r="A100" s="942"/>
      <c r="B100" s="914"/>
      <c r="C100" s="914"/>
      <c r="F100" s="373"/>
      <c r="G100" s="373"/>
    </row>
    <row r="101" spans="1:7" s="70" customFormat="1" x14ac:dyDescent="0.2">
      <c r="A101" s="942"/>
      <c r="B101" s="914"/>
      <c r="C101" s="914"/>
      <c r="F101" s="373"/>
      <c r="G101" s="373"/>
    </row>
    <row r="102" spans="1:7" s="70" customFormat="1" x14ac:dyDescent="0.2">
      <c r="A102" s="942"/>
      <c r="B102" s="914"/>
      <c r="C102" s="914"/>
      <c r="F102" s="373"/>
      <c r="G102" s="373"/>
    </row>
    <row r="103" spans="1:7" s="70" customFormat="1" x14ac:dyDescent="0.2">
      <c r="A103" s="942"/>
      <c r="B103" s="914"/>
      <c r="C103" s="914"/>
      <c r="F103" s="373"/>
      <c r="G103" s="373"/>
    </row>
    <row r="104" spans="1:7" s="70" customFormat="1" x14ac:dyDescent="0.2">
      <c r="A104" s="942"/>
      <c r="B104" s="914"/>
      <c r="C104" s="914"/>
      <c r="F104" s="373"/>
      <c r="G104" s="373"/>
    </row>
    <row r="105" spans="1:7" s="70" customFormat="1" x14ac:dyDescent="0.2">
      <c r="A105" s="942"/>
      <c r="B105" s="914"/>
      <c r="C105" s="914"/>
      <c r="F105" s="373"/>
      <c r="G105" s="373"/>
    </row>
    <row r="106" spans="1:7" s="70" customFormat="1" x14ac:dyDescent="0.2">
      <c r="A106" s="942"/>
      <c r="B106" s="914"/>
      <c r="C106" s="914"/>
      <c r="F106" s="373"/>
      <c r="G106" s="373"/>
    </row>
    <row r="107" spans="1:7" s="70" customFormat="1" x14ac:dyDescent="0.2">
      <c r="A107" s="942"/>
      <c r="B107" s="914"/>
      <c r="C107" s="914"/>
      <c r="F107" s="373"/>
      <c r="G107" s="373"/>
    </row>
    <row r="108" spans="1:7" s="70" customFormat="1" x14ac:dyDescent="0.2">
      <c r="A108" s="942"/>
      <c r="B108" s="914"/>
      <c r="C108" s="914"/>
      <c r="F108" s="373"/>
      <c r="G108" s="373"/>
    </row>
    <row r="109" spans="1:7" s="70" customFormat="1" x14ac:dyDescent="0.2">
      <c r="A109" s="942"/>
      <c r="B109" s="914"/>
      <c r="C109" s="914"/>
      <c r="F109" s="373"/>
      <c r="G109" s="373"/>
    </row>
    <row r="110" spans="1:7" s="70" customFormat="1" x14ac:dyDescent="0.2">
      <c r="A110" s="942"/>
      <c r="B110" s="914"/>
      <c r="C110" s="914"/>
      <c r="F110" s="373"/>
      <c r="G110" s="373"/>
    </row>
    <row r="111" spans="1:7" s="70" customFormat="1" x14ac:dyDescent="0.2">
      <c r="A111" s="942"/>
      <c r="B111" s="914"/>
      <c r="C111" s="914"/>
      <c r="F111" s="373"/>
      <c r="G111" s="373"/>
    </row>
    <row r="112" spans="1:7" s="70" customFormat="1" x14ac:dyDescent="0.2">
      <c r="A112" s="942"/>
      <c r="B112" s="914"/>
      <c r="C112" s="914"/>
      <c r="F112" s="373"/>
      <c r="G112" s="373"/>
    </row>
    <row r="113" spans="1:7" s="70" customFormat="1" x14ac:dyDescent="0.2">
      <c r="A113" s="942"/>
      <c r="B113" s="914"/>
      <c r="C113" s="914"/>
      <c r="F113" s="373"/>
      <c r="G113" s="373"/>
    </row>
    <row r="114" spans="1:7" s="70" customFormat="1" x14ac:dyDescent="0.2">
      <c r="A114" s="942"/>
      <c r="B114" s="914"/>
      <c r="C114" s="914"/>
      <c r="F114" s="373"/>
      <c r="G114" s="373"/>
    </row>
    <row r="115" spans="1:7" s="70" customFormat="1" x14ac:dyDescent="0.2">
      <c r="A115" s="942"/>
      <c r="B115" s="914"/>
      <c r="C115" s="914"/>
      <c r="F115" s="373"/>
      <c r="G115" s="373"/>
    </row>
    <row r="116" spans="1:7" s="70" customFormat="1" x14ac:dyDescent="0.2">
      <c r="A116" s="942"/>
      <c r="B116" s="914"/>
      <c r="C116" s="914"/>
      <c r="F116" s="373"/>
      <c r="G116" s="373"/>
    </row>
    <row r="117" spans="1:7" s="70" customFormat="1" x14ac:dyDescent="0.2">
      <c r="A117" s="942"/>
      <c r="B117" s="914"/>
      <c r="C117" s="914"/>
      <c r="F117" s="373"/>
      <c r="G117" s="373"/>
    </row>
    <row r="118" spans="1:7" s="70" customFormat="1" x14ac:dyDescent="0.2">
      <c r="A118" s="942"/>
      <c r="B118" s="914"/>
      <c r="C118" s="914"/>
      <c r="F118" s="373"/>
      <c r="G118" s="373"/>
    </row>
    <row r="119" spans="1:7" s="70" customFormat="1" x14ac:dyDescent="0.2">
      <c r="A119" s="942"/>
      <c r="B119" s="914"/>
      <c r="C119" s="914"/>
      <c r="F119" s="373"/>
      <c r="G119" s="373"/>
    </row>
    <row r="120" spans="1:7" s="70" customFormat="1" x14ac:dyDescent="0.2">
      <c r="A120" s="942"/>
      <c r="B120" s="914"/>
      <c r="C120" s="914"/>
      <c r="F120" s="373"/>
      <c r="G120" s="373"/>
    </row>
    <row r="121" spans="1:7" s="70" customFormat="1" x14ac:dyDescent="0.2">
      <c r="A121" s="942"/>
      <c r="B121" s="914"/>
      <c r="C121" s="914"/>
      <c r="F121" s="373"/>
      <c r="G121" s="373"/>
    </row>
    <row r="122" spans="1:7" s="70" customFormat="1" x14ac:dyDescent="0.2">
      <c r="A122" s="942"/>
      <c r="B122" s="914"/>
      <c r="C122" s="914"/>
      <c r="F122" s="373"/>
      <c r="G122" s="373"/>
    </row>
    <row r="123" spans="1:7" s="70" customFormat="1" x14ac:dyDescent="0.2">
      <c r="A123" s="942"/>
      <c r="B123" s="914"/>
      <c r="C123" s="914"/>
      <c r="F123" s="373"/>
      <c r="G123" s="373"/>
    </row>
    <row r="124" spans="1:7" s="70" customFormat="1" x14ac:dyDescent="0.2">
      <c r="A124" s="942"/>
      <c r="B124" s="914"/>
      <c r="C124" s="914"/>
      <c r="F124" s="373"/>
      <c r="G124" s="373"/>
    </row>
    <row r="125" spans="1:7" s="70" customFormat="1" x14ac:dyDescent="0.2">
      <c r="A125" s="942"/>
      <c r="B125" s="914"/>
      <c r="C125" s="914"/>
      <c r="F125" s="373"/>
      <c r="G125" s="373"/>
    </row>
    <row r="126" spans="1:7" s="70" customFormat="1" x14ac:dyDescent="0.2">
      <c r="A126" s="942"/>
      <c r="B126" s="914"/>
      <c r="C126" s="914"/>
      <c r="F126" s="373"/>
      <c r="G126" s="373"/>
    </row>
    <row r="127" spans="1:7" s="70" customFormat="1" x14ac:dyDescent="0.2">
      <c r="A127" s="942"/>
      <c r="B127" s="914"/>
      <c r="C127" s="914"/>
      <c r="F127" s="373"/>
      <c r="G127" s="373"/>
    </row>
    <row r="128" spans="1:7" s="70" customFormat="1" x14ac:dyDescent="0.2">
      <c r="A128" s="942"/>
      <c r="B128" s="914"/>
      <c r="C128" s="914"/>
      <c r="F128" s="373"/>
      <c r="G128" s="373"/>
    </row>
    <row r="129" spans="1:7" s="70" customFormat="1" x14ac:dyDescent="0.2">
      <c r="A129" s="942"/>
      <c r="B129" s="914"/>
      <c r="C129" s="914"/>
      <c r="F129" s="373"/>
      <c r="G129" s="373"/>
    </row>
    <row r="130" spans="1:7" s="70" customFormat="1" x14ac:dyDescent="0.2">
      <c r="A130" s="942"/>
      <c r="B130" s="914"/>
      <c r="C130" s="914"/>
      <c r="F130" s="373"/>
      <c r="G130" s="373"/>
    </row>
    <row r="131" spans="1:7" s="70" customFormat="1" x14ac:dyDescent="0.2">
      <c r="A131" s="942"/>
      <c r="B131" s="914"/>
      <c r="C131" s="914"/>
      <c r="F131" s="373"/>
      <c r="G131" s="373"/>
    </row>
    <row r="132" spans="1:7" s="70" customFormat="1" x14ac:dyDescent="0.2">
      <c r="A132" s="942"/>
      <c r="B132" s="914"/>
      <c r="C132" s="914"/>
      <c r="F132" s="373"/>
      <c r="G132" s="373"/>
    </row>
    <row r="133" spans="1:7" s="70" customFormat="1" x14ac:dyDescent="0.2">
      <c r="A133" s="942"/>
      <c r="B133" s="914"/>
      <c r="C133" s="914"/>
      <c r="F133" s="373"/>
      <c r="G133" s="373"/>
    </row>
    <row r="134" spans="1:7" s="70" customFormat="1" x14ac:dyDescent="0.2">
      <c r="A134" s="942"/>
      <c r="B134" s="914"/>
      <c r="C134" s="914"/>
      <c r="F134" s="373"/>
      <c r="G134" s="373"/>
    </row>
    <row r="135" spans="1:7" s="70" customFormat="1" x14ac:dyDescent="0.2">
      <c r="A135" s="942"/>
      <c r="B135" s="914"/>
      <c r="C135" s="914"/>
      <c r="F135" s="373"/>
      <c r="G135" s="373"/>
    </row>
    <row r="136" spans="1:7" s="70" customFormat="1" x14ac:dyDescent="0.2">
      <c r="A136" s="942"/>
      <c r="B136" s="914"/>
      <c r="C136" s="914"/>
      <c r="F136" s="373"/>
      <c r="G136" s="373"/>
    </row>
    <row r="137" spans="1:7" s="70" customFormat="1" x14ac:dyDescent="0.2">
      <c r="A137" s="942"/>
      <c r="B137" s="914"/>
      <c r="C137" s="914"/>
      <c r="F137" s="373"/>
      <c r="G137" s="373"/>
    </row>
    <row r="138" spans="1:7" s="70" customFormat="1" x14ac:dyDescent="0.2">
      <c r="A138" s="942"/>
      <c r="B138" s="914"/>
      <c r="C138" s="914"/>
      <c r="F138" s="373"/>
      <c r="G138" s="373"/>
    </row>
    <row r="139" spans="1:7" s="70" customFormat="1" x14ac:dyDescent="0.2">
      <c r="A139" s="942"/>
      <c r="B139" s="914"/>
      <c r="C139" s="914"/>
      <c r="F139" s="373"/>
      <c r="G139" s="373"/>
    </row>
    <row r="140" spans="1:7" s="70" customFormat="1" x14ac:dyDescent="0.2">
      <c r="A140" s="942"/>
      <c r="B140" s="914"/>
      <c r="C140" s="914"/>
      <c r="F140" s="373"/>
      <c r="G140" s="373"/>
    </row>
    <row r="141" spans="1:7" s="70" customFormat="1" x14ac:dyDescent="0.2">
      <c r="A141" s="942"/>
      <c r="B141" s="914"/>
      <c r="C141" s="914"/>
      <c r="F141" s="373"/>
      <c r="G141" s="373"/>
    </row>
    <row r="142" spans="1:7" s="70" customFormat="1" x14ac:dyDescent="0.2">
      <c r="A142" s="942"/>
      <c r="B142" s="914"/>
      <c r="C142" s="914"/>
      <c r="F142" s="373"/>
      <c r="G142" s="373"/>
    </row>
    <row r="143" spans="1:7" s="70" customFormat="1" x14ac:dyDescent="0.2">
      <c r="A143" s="942"/>
      <c r="B143" s="914"/>
      <c r="C143" s="914"/>
      <c r="F143" s="373"/>
      <c r="G143" s="373"/>
    </row>
    <row r="144" spans="1:7" s="70" customFormat="1" x14ac:dyDescent="0.2">
      <c r="A144" s="942"/>
      <c r="B144" s="914"/>
      <c r="C144" s="914"/>
      <c r="F144" s="373"/>
      <c r="G144" s="373"/>
    </row>
    <row r="145" spans="1:7" s="70" customFormat="1" x14ac:dyDescent="0.2">
      <c r="A145" s="942"/>
      <c r="B145" s="914"/>
      <c r="C145" s="914"/>
      <c r="F145" s="373"/>
      <c r="G145" s="373"/>
    </row>
    <row r="146" spans="1:7" s="70" customFormat="1" x14ac:dyDescent="0.2">
      <c r="A146" s="942"/>
      <c r="B146" s="914"/>
      <c r="C146" s="914"/>
      <c r="F146" s="373"/>
      <c r="G146" s="373"/>
    </row>
    <row r="147" spans="1:7" s="70" customFormat="1" x14ac:dyDescent="0.2">
      <c r="A147" s="942"/>
      <c r="B147" s="914"/>
      <c r="C147" s="914"/>
      <c r="F147" s="373"/>
      <c r="G147" s="373"/>
    </row>
    <row r="148" spans="1:7" s="70" customFormat="1" x14ac:dyDescent="0.2">
      <c r="A148" s="942"/>
      <c r="B148" s="914"/>
      <c r="C148" s="914"/>
      <c r="F148" s="373"/>
      <c r="G148" s="373"/>
    </row>
    <row r="149" spans="1:7" s="70" customFormat="1" x14ac:dyDescent="0.2">
      <c r="A149" s="942"/>
      <c r="B149" s="914"/>
      <c r="C149" s="914"/>
      <c r="F149" s="373"/>
      <c r="G149" s="373"/>
    </row>
    <row r="150" spans="1:7" s="70" customFormat="1" x14ac:dyDescent="0.2">
      <c r="A150" s="942"/>
      <c r="B150" s="914"/>
      <c r="C150" s="914"/>
      <c r="F150" s="373"/>
      <c r="G150" s="373"/>
    </row>
    <row r="151" spans="1:7" s="70" customFormat="1" x14ac:dyDescent="0.2">
      <c r="A151" s="942"/>
      <c r="B151" s="914"/>
      <c r="C151" s="914"/>
      <c r="F151" s="373"/>
      <c r="G151" s="373"/>
    </row>
    <row r="152" spans="1:7" s="70" customFormat="1" x14ac:dyDescent="0.2">
      <c r="A152" s="942"/>
      <c r="B152" s="914"/>
      <c r="C152" s="914"/>
      <c r="F152" s="373"/>
      <c r="G152" s="373"/>
    </row>
    <row r="153" spans="1:7" s="70" customFormat="1" x14ac:dyDescent="0.2">
      <c r="A153" s="942"/>
      <c r="B153" s="914"/>
      <c r="C153" s="914"/>
      <c r="F153" s="373"/>
      <c r="G153" s="373"/>
    </row>
    <row r="154" spans="1:7" s="70" customFormat="1" x14ac:dyDescent="0.2">
      <c r="A154" s="942"/>
      <c r="B154" s="914"/>
      <c r="C154" s="914"/>
      <c r="F154" s="373"/>
      <c r="G154" s="373"/>
    </row>
    <row r="155" spans="1:7" s="70" customFormat="1" x14ac:dyDescent="0.2">
      <c r="A155" s="942"/>
      <c r="B155" s="914"/>
      <c r="C155" s="914"/>
      <c r="F155" s="373"/>
      <c r="G155" s="373"/>
    </row>
    <row r="156" spans="1:7" s="70" customFormat="1" x14ac:dyDescent="0.2">
      <c r="A156" s="942"/>
      <c r="B156" s="914"/>
      <c r="C156" s="914"/>
      <c r="F156" s="373"/>
      <c r="G156" s="373"/>
    </row>
    <row r="157" spans="1:7" s="70" customFormat="1" x14ac:dyDescent="0.2">
      <c r="A157" s="942"/>
      <c r="B157" s="914"/>
      <c r="C157" s="914"/>
      <c r="F157" s="373"/>
      <c r="G157" s="373"/>
    </row>
    <row r="158" spans="1:7" s="70" customFormat="1" x14ac:dyDescent="0.2">
      <c r="A158" s="942"/>
      <c r="B158" s="914"/>
      <c r="C158" s="914"/>
      <c r="F158" s="373"/>
      <c r="G158" s="373"/>
    </row>
    <row r="159" spans="1:7" s="70" customFormat="1" x14ac:dyDescent="0.2">
      <c r="A159" s="942"/>
      <c r="B159" s="914"/>
      <c r="C159" s="914"/>
      <c r="F159" s="373"/>
      <c r="G159" s="373"/>
    </row>
    <row r="160" spans="1:7" s="70" customFormat="1" x14ac:dyDescent="0.2">
      <c r="A160" s="942"/>
      <c r="B160" s="914"/>
      <c r="C160" s="914"/>
      <c r="F160" s="373"/>
      <c r="G160" s="373"/>
    </row>
    <row r="161" spans="1:7" s="70" customFormat="1" x14ac:dyDescent="0.2">
      <c r="A161" s="942"/>
      <c r="B161" s="914"/>
      <c r="C161" s="914"/>
      <c r="F161" s="373"/>
      <c r="G161" s="373"/>
    </row>
    <row r="162" spans="1:7" s="70" customFormat="1" x14ac:dyDescent="0.2">
      <c r="A162" s="942"/>
      <c r="B162" s="914"/>
      <c r="C162" s="914"/>
      <c r="F162" s="373"/>
      <c r="G162" s="373"/>
    </row>
    <row r="163" spans="1:7" s="70" customFormat="1" x14ac:dyDescent="0.2">
      <c r="A163" s="942"/>
      <c r="B163" s="914"/>
      <c r="C163" s="914"/>
      <c r="F163" s="373"/>
      <c r="G163" s="373"/>
    </row>
    <row r="164" spans="1:7" s="70" customFormat="1" x14ac:dyDescent="0.2">
      <c r="A164" s="942"/>
      <c r="B164" s="914"/>
      <c r="C164" s="914"/>
      <c r="F164" s="373"/>
      <c r="G164" s="373"/>
    </row>
    <row r="165" spans="1:7" s="70" customFormat="1" x14ac:dyDescent="0.2">
      <c r="A165" s="942"/>
      <c r="B165" s="914"/>
      <c r="C165" s="914"/>
      <c r="F165" s="373"/>
      <c r="G165" s="373"/>
    </row>
    <row r="166" spans="1:7" s="70" customFormat="1" x14ac:dyDescent="0.2">
      <c r="A166" s="942"/>
      <c r="B166" s="914"/>
      <c r="C166" s="914"/>
      <c r="F166" s="373"/>
      <c r="G166" s="373"/>
    </row>
    <row r="167" spans="1:7" s="70" customFormat="1" x14ac:dyDescent="0.2">
      <c r="A167" s="942"/>
      <c r="B167" s="914"/>
      <c r="C167" s="914"/>
      <c r="F167" s="373"/>
      <c r="G167" s="373"/>
    </row>
    <row r="168" spans="1:7" s="70" customFormat="1" x14ac:dyDescent="0.2">
      <c r="A168" s="942"/>
      <c r="B168" s="914"/>
      <c r="C168" s="914"/>
      <c r="F168" s="373"/>
      <c r="G168" s="373"/>
    </row>
    <row r="169" spans="1:7" s="70" customFormat="1" x14ac:dyDescent="0.2">
      <c r="A169" s="942"/>
      <c r="B169" s="914"/>
      <c r="C169" s="914"/>
      <c r="F169" s="373"/>
      <c r="G169" s="373"/>
    </row>
    <row r="170" spans="1:7" s="70" customFormat="1" x14ac:dyDescent="0.2">
      <c r="A170" s="942"/>
      <c r="B170" s="914"/>
      <c r="C170" s="914"/>
      <c r="F170" s="373"/>
      <c r="G170" s="373"/>
    </row>
    <row r="171" spans="1:7" s="70" customFormat="1" x14ac:dyDescent="0.2">
      <c r="A171" s="942"/>
      <c r="B171" s="914"/>
      <c r="C171" s="914"/>
      <c r="F171" s="373"/>
      <c r="G171" s="373"/>
    </row>
    <row r="172" spans="1:7" s="70" customFormat="1" x14ac:dyDescent="0.2">
      <c r="A172" s="942"/>
      <c r="B172" s="914"/>
      <c r="C172" s="914"/>
      <c r="F172" s="373"/>
      <c r="G172" s="373"/>
    </row>
    <row r="173" spans="1:7" s="70" customFormat="1" x14ac:dyDescent="0.2">
      <c r="A173" s="942"/>
      <c r="B173" s="914"/>
      <c r="C173" s="914"/>
      <c r="F173" s="373"/>
      <c r="G173" s="373"/>
    </row>
    <row r="174" spans="1:7" s="70" customFormat="1" x14ac:dyDescent="0.2">
      <c r="A174" s="942"/>
      <c r="B174" s="914"/>
      <c r="C174" s="914"/>
      <c r="F174" s="373"/>
      <c r="G174" s="373"/>
    </row>
    <row r="175" spans="1:7" s="70" customFormat="1" x14ac:dyDescent="0.2">
      <c r="A175" s="942"/>
      <c r="B175" s="914"/>
      <c r="C175" s="914"/>
      <c r="F175" s="373"/>
      <c r="G175" s="373"/>
    </row>
    <row r="176" spans="1:7" s="70" customFormat="1" x14ac:dyDescent="0.2">
      <c r="A176" s="942"/>
      <c r="B176" s="914"/>
      <c r="C176" s="914"/>
      <c r="F176" s="373"/>
      <c r="G176" s="373"/>
    </row>
    <row r="177" spans="1:7" s="70" customFormat="1" x14ac:dyDescent="0.2">
      <c r="A177" s="942"/>
      <c r="B177" s="914"/>
      <c r="C177" s="914"/>
      <c r="F177" s="373"/>
      <c r="G177" s="373"/>
    </row>
    <row r="178" spans="1:7" s="70" customFormat="1" x14ac:dyDescent="0.2">
      <c r="A178" s="942"/>
      <c r="B178" s="914"/>
      <c r="C178" s="914"/>
      <c r="F178" s="373"/>
      <c r="G178" s="373"/>
    </row>
    <row r="179" spans="1:7" s="70" customFormat="1" x14ac:dyDescent="0.2">
      <c r="A179" s="942"/>
      <c r="B179" s="914"/>
      <c r="C179" s="914"/>
      <c r="F179" s="373"/>
      <c r="G179" s="373"/>
    </row>
    <row r="180" spans="1:7" s="70" customFormat="1" x14ac:dyDescent="0.2">
      <c r="A180" s="942"/>
      <c r="B180" s="914"/>
      <c r="C180" s="914"/>
      <c r="F180" s="373"/>
      <c r="G180" s="373"/>
    </row>
    <row r="181" spans="1:7" s="70" customFormat="1" x14ac:dyDescent="0.2">
      <c r="A181" s="942"/>
      <c r="B181" s="914"/>
      <c r="C181" s="914"/>
      <c r="F181" s="373"/>
      <c r="G181" s="373"/>
    </row>
    <row r="182" spans="1:7" s="70" customFormat="1" x14ac:dyDescent="0.2">
      <c r="A182" s="942"/>
      <c r="B182" s="914"/>
      <c r="C182" s="914"/>
      <c r="F182" s="373"/>
      <c r="G182" s="373"/>
    </row>
    <row r="183" spans="1:7" s="70" customFormat="1" x14ac:dyDescent="0.2">
      <c r="A183" s="942"/>
      <c r="B183" s="914"/>
      <c r="C183" s="914"/>
      <c r="F183" s="373"/>
      <c r="G183" s="373"/>
    </row>
    <row r="184" spans="1:7" s="70" customFormat="1" x14ac:dyDescent="0.2">
      <c r="A184" s="942"/>
      <c r="B184" s="914"/>
      <c r="C184" s="914"/>
      <c r="F184" s="373"/>
      <c r="G184" s="373"/>
    </row>
    <row r="185" spans="1:7" s="70" customFormat="1" x14ac:dyDescent="0.2">
      <c r="A185" s="942"/>
      <c r="B185" s="914"/>
      <c r="C185" s="914"/>
      <c r="F185" s="373"/>
      <c r="G185" s="373"/>
    </row>
    <row r="186" spans="1:7" s="70" customFormat="1" x14ac:dyDescent="0.2">
      <c r="A186" s="942"/>
      <c r="B186" s="914"/>
      <c r="C186" s="914"/>
      <c r="F186" s="373"/>
      <c r="G186" s="373"/>
    </row>
    <row r="187" spans="1:7" s="70" customFormat="1" x14ac:dyDescent="0.2">
      <c r="A187" s="942"/>
      <c r="B187" s="914"/>
      <c r="C187" s="914"/>
      <c r="F187" s="373"/>
      <c r="G187" s="373"/>
    </row>
    <row r="188" spans="1:7" s="70" customFormat="1" x14ac:dyDescent="0.2">
      <c r="A188" s="942"/>
      <c r="B188" s="914"/>
      <c r="C188" s="914"/>
      <c r="F188" s="373"/>
      <c r="G188" s="373"/>
    </row>
    <row r="189" spans="1:7" s="70" customFormat="1" x14ac:dyDescent="0.2">
      <c r="A189" s="942"/>
      <c r="B189" s="914"/>
      <c r="C189" s="914"/>
      <c r="F189" s="373"/>
      <c r="G189" s="373"/>
    </row>
    <row r="190" spans="1:7" s="70" customFormat="1" x14ac:dyDescent="0.2">
      <c r="A190" s="942"/>
      <c r="B190" s="914"/>
      <c r="C190" s="914"/>
      <c r="F190" s="373"/>
      <c r="G190" s="373"/>
    </row>
    <row r="191" spans="1:7" s="70" customFormat="1" x14ac:dyDescent="0.2">
      <c r="A191" s="942"/>
      <c r="B191" s="914"/>
      <c r="C191" s="914"/>
      <c r="F191" s="373"/>
      <c r="G191" s="373"/>
    </row>
    <row r="192" spans="1:7" s="70" customFormat="1" x14ac:dyDescent="0.2">
      <c r="A192" s="942"/>
      <c r="B192" s="914"/>
      <c r="C192" s="914"/>
      <c r="F192" s="373"/>
      <c r="G192" s="373"/>
    </row>
    <row r="193" spans="1:7" s="70" customFormat="1" x14ac:dyDescent="0.2">
      <c r="A193" s="942"/>
      <c r="B193" s="914"/>
      <c r="C193" s="914"/>
      <c r="F193" s="373"/>
      <c r="G193" s="373"/>
    </row>
    <row r="194" spans="1:7" s="70" customFormat="1" x14ac:dyDescent="0.2">
      <c r="A194" s="942"/>
      <c r="B194" s="914"/>
      <c r="C194" s="914"/>
      <c r="F194" s="373"/>
      <c r="G194" s="373"/>
    </row>
    <row r="195" spans="1:7" s="70" customFormat="1" x14ac:dyDescent="0.2">
      <c r="A195" s="942"/>
      <c r="B195" s="914"/>
      <c r="C195" s="914"/>
      <c r="F195" s="373"/>
      <c r="G195" s="373"/>
    </row>
    <row r="196" spans="1:7" s="70" customFormat="1" x14ac:dyDescent="0.2">
      <c r="A196" s="942"/>
      <c r="B196" s="914"/>
      <c r="C196" s="914"/>
      <c r="F196" s="373"/>
      <c r="G196" s="373"/>
    </row>
  </sheetData>
  <mergeCells count="23">
    <mergeCell ref="B10:D10"/>
    <mergeCell ref="B13:F13"/>
    <mergeCell ref="G13:H13"/>
    <mergeCell ref="G14:H14"/>
    <mergeCell ref="G15:H15"/>
    <mergeCell ref="G16:H16"/>
    <mergeCell ref="B18:F18"/>
    <mergeCell ref="G18:H18"/>
    <mergeCell ref="G19:H19"/>
    <mergeCell ref="G20:H20"/>
    <mergeCell ref="B43:F43"/>
    <mergeCell ref="G43:H43"/>
    <mergeCell ref="B31:D31"/>
    <mergeCell ref="B34:F34"/>
    <mergeCell ref="G34:H34"/>
    <mergeCell ref="G35:H35"/>
    <mergeCell ref="G36:H36"/>
    <mergeCell ref="G37:H37"/>
    <mergeCell ref="G38:H38"/>
    <mergeCell ref="B40:F40"/>
    <mergeCell ref="G40:H40"/>
    <mergeCell ref="G41:H41"/>
    <mergeCell ref="G42:H42"/>
  </mergeCells>
  <pageMargins left="0.70866141732283472" right="0.70866141732283472" top="0.78740157480314965" bottom="0.78740157480314965" header="0.31496062992125984" footer="0.31496062992125984"/>
  <pageSetup paperSize="9" scale="67" firstPageNumber="18" orientation="portrait" useFirstPageNumber="1" r:id="rId1"/>
  <headerFooter>
    <oddFooter>&amp;L&amp;"Arial,Kurzíva"Zastupitelstvo Olomouckého kraje 21-12-2020
11. - Rozpočet Olomouckého kraje 2021 - návrh rozpočtu
Příloha č. 1: Návrh rozpočtu OK na rok 2021 (bilance) - zkrácená verze&amp;R&amp;"-,Kurzíva"Strana &amp;P (Celkem 150)</oddFooter>
  </headerFooter>
  <colBreaks count="1" manualBreakCount="1">
    <brk id="9" max="2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12</vt:i4>
      </vt:variant>
    </vt:vector>
  </HeadingPairs>
  <TitlesOfParts>
    <vt:vector size="23" baseType="lpstr">
      <vt:lpstr>stránky</vt:lpstr>
      <vt:lpstr>bilance </vt:lpstr>
      <vt:lpstr>a) Příjmy</vt:lpstr>
      <vt:lpstr>b) Výdaje</vt:lpstr>
      <vt:lpstr>c) Dotační tituly</vt:lpstr>
      <vt:lpstr>d) Příspěvkové organizace</vt:lpstr>
      <vt:lpstr>e) FSP</vt:lpstr>
      <vt:lpstr>f) Fond voda</vt:lpstr>
      <vt:lpstr>g) Financování</vt:lpstr>
      <vt:lpstr>h) Investice</vt:lpstr>
      <vt:lpstr>bilance - snížená</vt:lpstr>
      <vt:lpstr>'c) Dotační tituly'!Názvy_tisku</vt:lpstr>
      <vt:lpstr>'a) Příjmy'!Oblast_tisku</vt:lpstr>
      <vt:lpstr>'b) Výdaje'!Oblast_tisku</vt:lpstr>
      <vt:lpstr>'bilance '!Oblast_tisku</vt:lpstr>
      <vt:lpstr>'bilance - snížená'!Oblast_tisku</vt:lpstr>
      <vt:lpstr>'c) Dotační tituly'!Oblast_tisku</vt:lpstr>
      <vt:lpstr>'d) Příspěvkové organizace'!Oblast_tisku</vt:lpstr>
      <vt:lpstr>'e) FSP'!Oblast_tisku</vt:lpstr>
      <vt:lpstr>'f) Fond voda'!Oblast_tisku</vt:lpstr>
      <vt:lpstr>'g) Financování'!Oblast_tisku</vt:lpstr>
      <vt:lpstr>'h) Investice'!Oblast_tisku</vt:lpstr>
      <vt:lpstr>stránky!Oblast_tisku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2020-12-01T11:45:29Z</cp:lastPrinted>
  <dcterms:created xsi:type="dcterms:W3CDTF">2012-11-29T09:19:31Z</dcterms:created>
  <dcterms:modified xsi:type="dcterms:W3CDTF">2020-12-01T11:45:38Z</dcterms:modified>
</cp:coreProperties>
</file>