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0\Plnění rozpočtu k 30. 6. 2020\ZOK\"/>
    </mc:Choice>
  </mc:AlternateContent>
  <bookViews>
    <workbookView xWindow="0" yWindow="105" windowWidth="15195" windowHeight="8385" activeTab="3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Příjmy!$A$1:$E$18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Výdaje!$A$1:$F$121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D11" i="2" l="1"/>
  <c r="E93" i="2"/>
  <c r="D93" i="2"/>
  <c r="E80" i="2" l="1"/>
  <c r="D80" i="2"/>
  <c r="C80" i="2"/>
  <c r="E65" i="2"/>
  <c r="D65" i="2"/>
  <c r="C65" i="2"/>
  <c r="D46" i="2"/>
  <c r="E46" i="2"/>
  <c r="E39" i="2"/>
  <c r="D39" i="2"/>
  <c r="E30" i="2"/>
  <c r="D30" i="2"/>
  <c r="E26" i="2" l="1"/>
  <c r="D26" i="2"/>
  <c r="E21" i="2"/>
  <c r="D21" i="2"/>
  <c r="E11" i="2"/>
  <c r="E7" i="2"/>
  <c r="D7" i="2"/>
  <c r="E104" i="2"/>
  <c r="F58" i="2" l="1"/>
  <c r="F75" i="2" l="1"/>
  <c r="C39" i="2" l="1"/>
  <c r="C30" i="2"/>
  <c r="F30" i="2"/>
  <c r="C26" i="2"/>
  <c r="C21" i="2"/>
  <c r="C11" i="2"/>
  <c r="C7" i="2"/>
  <c r="C93" i="2"/>
  <c r="F37" i="2" l="1"/>
  <c r="C104" i="2" l="1"/>
  <c r="D13" i="1" l="1"/>
  <c r="C13" i="1"/>
  <c r="B13" i="1"/>
  <c r="E10" i="10" l="1"/>
  <c r="E117" i="2" l="1"/>
  <c r="E119" i="2" s="1"/>
  <c r="D104" i="2"/>
  <c r="D69" i="2"/>
  <c r="E69" i="2"/>
  <c r="C69" i="2"/>
  <c r="D16" i="10" l="1"/>
  <c r="C16" i="10"/>
  <c r="B16" i="10"/>
  <c r="D53" i="2" l="1"/>
  <c r="E34" i="2" l="1"/>
  <c r="D34" i="2"/>
  <c r="C34" i="2"/>
  <c r="C42" i="2" l="1"/>
  <c r="E29" i="2" l="1"/>
  <c r="C29" i="2"/>
  <c r="C25" i="2"/>
  <c r="C14" i="2"/>
  <c r="C6" i="2"/>
  <c r="C10" i="2" l="1"/>
  <c r="C114" i="2"/>
  <c r="C116" i="2" l="1"/>
  <c r="C115" i="2"/>
  <c r="C117" i="2"/>
  <c r="C119" i="2" s="1"/>
  <c r="C100" i="2"/>
  <c r="C96" i="2"/>
  <c r="C92" i="2"/>
  <c r="C88" i="2"/>
  <c r="C85" i="2"/>
  <c r="C84" i="2" s="1"/>
  <c r="C77" i="2"/>
  <c r="C73" i="2"/>
  <c r="C64" i="2"/>
  <c r="C57" i="2"/>
  <c r="C53" i="2"/>
  <c r="C52" i="2" s="1"/>
  <c r="C49" i="2"/>
  <c r="C45" i="2"/>
  <c r="C41" i="2"/>
  <c r="C38" i="2"/>
  <c r="C20" i="2"/>
  <c r="C17" i="2"/>
  <c r="C44" i="2" l="1"/>
  <c r="C68" i="2"/>
  <c r="C33" i="2"/>
  <c r="C118" i="2"/>
  <c r="C120" i="2" s="1"/>
  <c r="C103" i="2" l="1"/>
  <c r="C105" i="2" s="1"/>
  <c r="D38" i="2"/>
  <c r="E38" i="2"/>
  <c r="D41" i="2"/>
  <c r="E41" i="2"/>
  <c r="E16" i="10" l="1"/>
  <c r="E13" i="10"/>
  <c r="D115" i="2" l="1"/>
  <c r="E115" i="2"/>
  <c r="D116" i="2"/>
  <c r="E116" i="2"/>
  <c r="F115" i="2" l="1"/>
  <c r="F116" i="2"/>
  <c r="F83" i="2"/>
  <c r="D20" i="2" l="1"/>
  <c r="E17" i="2"/>
  <c r="D17" i="2"/>
  <c r="F19" i="2"/>
  <c r="F18" i="2"/>
  <c r="F17" i="2" l="1"/>
  <c r="F82" i="2" l="1"/>
  <c r="D77" i="2"/>
  <c r="E77" i="2"/>
  <c r="D64" i="2"/>
  <c r="E64" i="2"/>
  <c r="E53" i="2"/>
  <c r="F67" i="2"/>
  <c r="F65" i="2"/>
  <c r="F74" i="2"/>
  <c r="D73" i="2"/>
  <c r="E73" i="2"/>
  <c r="D57" i="2"/>
  <c r="E57" i="2"/>
  <c r="F50" i="2"/>
  <c r="D49" i="2"/>
  <c r="D45" i="2" s="1"/>
  <c r="E49" i="2"/>
  <c r="E45" i="2"/>
  <c r="D29" i="2"/>
  <c r="D25" i="2"/>
  <c r="E25" i="2"/>
  <c r="E20" i="2"/>
  <c r="D14" i="2"/>
  <c r="E14" i="2"/>
  <c r="D10" i="2"/>
  <c r="E10" i="2"/>
  <c r="D6" i="2"/>
  <c r="D52" i="2" l="1"/>
  <c r="E52" i="2"/>
  <c r="F53" i="2"/>
  <c r="F64" i="2"/>
  <c r="F25" i="2"/>
  <c r="D117" i="2"/>
  <c r="F117" i="2" s="1"/>
  <c r="D119" i="2" l="1"/>
  <c r="F119" i="2" s="1"/>
  <c r="E9" i="1"/>
  <c r="F99" i="2" l="1"/>
  <c r="E14" i="10" l="1"/>
  <c r="E9" i="10"/>
  <c r="E14" i="1"/>
  <c r="E12" i="1"/>
  <c r="E11" i="1"/>
  <c r="E10" i="1"/>
  <c r="F12" i="2" l="1"/>
  <c r="D96" i="2" l="1"/>
  <c r="E96" i="2"/>
  <c r="F72" i="2" l="1"/>
  <c r="F56" i="2"/>
  <c r="F48" i="2" l="1"/>
  <c r="F32" i="2" l="1"/>
  <c r="F28" i="2"/>
  <c r="E9" i="3" l="1"/>
  <c r="G9" i="3" l="1"/>
  <c r="F9" i="3" l="1"/>
  <c r="H9" i="3" s="1"/>
  <c r="F91" i="2" l="1"/>
  <c r="D33" i="2" l="1"/>
  <c r="F59" i="2" l="1"/>
  <c r="E88" i="2" l="1"/>
  <c r="D88" i="2" l="1"/>
  <c r="F9" i="2"/>
  <c r="F46" i="2" l="1"/>
  <c r="F79" i="2" l="1"/>
  <c r="D44" i="2" l="1"/>
  <c r="E44" i="2" l="1"/>
  <c r="F49" i="2" l="1"/>
  <c r="D15" i="1" l="1"/>
  <c r="G7" i="3" l="1"/>
  <c r="F86" i="2" l="1"/>
  <c r="F90" i="2" l="1"/>
  <c r="F89" i="2" l="1"/>
  <c r="E85" i="2"/>
  <c r="E84" i="2" s="1"/>
  <c r="D85" i="2"/>
  <c r="D84" i="2" s="1"/>
  <c r="F85" i="2" l="1"/>
  <c r="F88" i="2"/>
  <c r="C15" i="1" l="1"/>
  <c r="E15" i="1" s="1"/>
  <c r="E13" i="1"/>
  <c r="F84" i="2"/>
  <c r="F7" i="3" l="1"/>
  <c r="H7" i="3" s="1"/>
  <c r="F80" i="2" l="1"/>
  <c r="E33" i="2" l="1"/>
  <c r="F34" i="2"/>
  <c r="F33" i="2" l="1"/>
  <c r="D68" i="2" l="1"/>
  <c r="F81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5" i="2" l="1"/>
  <c r="F13" i="2"/>
  <c r="F10" i="2"/>
  <c r="F14" i="2"/>
  <c r="E100" i="2"/>
  <c r="D100" i="2"/>
  <c r="F21" i="2"/>
  <c r="B15" i="1"/>
  <c r="F104" i="2"/>
  <c r="F101" i="2"/>
  <c r="F94" i="2"/>
  <c r="F78" i="2"/>
  <c r="F54" i="2"/>
  <c r="F42" i="2"/>
  <c r="F39" i="2"/>
  <c r="F35" i="2"/>
  <c r="F26" i="2"/>
  <c r="F16" i="2"/>
  <c r="F15" i="2"/>
  <c r="F11" i="2"/>
  <c r="E7" i="3" l="1"/>
  <c r="F70" i="2"/>
  <c r="E68" i="2"/>
  <c r="F96" i="2"/>
  <c r="G7" i="8"/>
  <c r="F38" i="2"/>
  <c r="F57" i="2"/>
  <c r="F100" i="2"/>
  <c r="F77" i="2"/>
  <c r="F29" i="2"/>
  <c r="F20" i="2"/>
  <c r="B6" i="4"/>
  <c r="F41" i="2"/>
  <c r="F52" i="2"/>
  <c r="F73" i="2"/>
  <c r="F44" i="2"/>
  <c r="F69" i="2" l="1"/>
  <c r="B4" i="4"/>
  <c r="E41" i="8"/>
  <c r="E7" i="8"/>
  <c r="F68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2" i="2"/>
  <c r="D103" i="2" s="1"/>
  <c r="D105" i="2" s="1"/>
  <c r="F8" i="3" s="1"/>
  <c r="C5" i="4" s="1"/>
  <c r="D114" i="2"/>
  <c r="F93" i="2"/>
  <c r="E114" i="2"/>
  <c r="E92" i="2"/>
  <c r="D118" i="2" l="1"/>
  <c r="F114" i="2"/>
  <c r="F92" i="2"/>
  <c r="E103" i="2"/>
  <c r="F103" i="2" s="1"/>
  <c r="F6" i="2"/>
  <c r="E118" i="2"/>
  <c r="D120" i="2" l="1"/>
  <c r="F118" i="2"/>
  <c r="E105" i="2"/>
  <c r="G8" i="3" s="1"/>
  <c r="G10" i="3" s="1"/>
  <c r="E120" i="2"/>
  <c r="F120" i="2" l="1"/>
  <c r="F105" i="2"/>
  <c r="H8" i="3"/>
  <c r="C6" i="4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6351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<sst xmlns="http://schemas.openxmlformats.org/spreadsheetml/2006/main" count="267" uniqueCount="132">
  <si>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</si>
  <si>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</si>
  <si>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</si>
  <si>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</si>
  <si>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</si>
  <si>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</si>
  <si>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</si>
  <si>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</si>
  <si>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</si>
  <si>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</si>
  <si>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</si>
  <si>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</si>
  <si>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</si>
  <si>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</si>
  <si>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</si>
  <si>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</si>
  <si>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</si>
  <si>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</si>
  <si>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</si>
  <si>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</si>
  <si>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</si>
  <si>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</si>
  <si>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</si>
  <si>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</si>
  <si>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</si>
  <si>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</si>
  <si>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</si>
  <si>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</si>
  <si>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</si>
  <si>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</si>
  <si>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</si>
  <si>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</si>
  <si>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</si>
  <si>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</si>
  <si>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</si>
  <si>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</si>
  <si>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</si>
  <si>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</si>
  <si>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</si>
  <si>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</si>
  <si>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</si>
  <si>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</si>
  <si>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</si>
  <si>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</si>
  <si>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</si>
  <si>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</si>
  <si>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</si>
  <si>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</si>
  <si>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</si>
  <si>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</si>
  <si>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</si>
  <si>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</si>
  <si>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</si>
  <si>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</si>
  <si>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</si>
  <si>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</si>
  <si>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</si>
  <si>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</si>
  <si>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</si>
  <si>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</si>
  <si>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</si>
  <si>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</si>
  <si>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</si>
  <si>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</si>
  <si>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</si>
  <si>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</si>
  <si>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</si>
  <si>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</si>
  <si>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</si>
  <si>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</si>
  <si>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</si>
  <si>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</si>
  <si>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</si>
  <si>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</si>
  <si>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</si>
  <si>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</si>
  <si>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</si>
  <si>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</si>
  <si>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</si>
  <si>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</si>
  <si>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</si>
  <si>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</si>
  <si>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</si>
  <si>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</si>
  <si>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</si>
  <si>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</si>
  <si>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</si>
  <si>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</si>
  <si>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</si>
  <si>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</si>
  <si>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</si>
  <si>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</si>
  <si>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</si>
  <si>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</si>
  <si>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</si>
  <si>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</si>
  <si>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</si>
  <si>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</si>
  <si>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</si>
  <si>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</si>
  <si>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</si>
  <si>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</si>
  <si>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</si>
  <si>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</si>
  <si>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</si>
  <si>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</si>
  <si>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</si>
  <si>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</si>
  <si>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</si>
  <si>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</si>
  <si>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</si>
  <si>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</si>
  <si>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</si>
  <si>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</si>
  <si>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</si>
  <si>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</si>
  <si>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</si>
  <si>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</si>
  <si>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</si>
  <si>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</si>
  <si>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</si>
  <si>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</si>
  <si>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</si>
  <si>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</si>
  <si>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</si>
  <si>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</si>
  <si>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</si>
  <si>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</si>
  <si>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1. Plnění rozpočtu příjmů Olomouckého kraje k 30. 6. 2020</t>
  </si>
  <si>
    <t>2. Plnění rozpočtu výdajů Olomouckého kraje k 30. 6. 2020</t>
  </si>
  <si>
    <t>3. Financování Olomouckého kraje k 30. 6. 2020</t>
  </si>
  <si>
    <t>Rekapitulace k 30. 6.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</si>
</sst>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18113486</c:v>
                </c:pt>
                <c:pt idx="1">
                  <c:v>18998692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11003841</c:v>
                </c:pt>
                <c:pt idx="1">
                  <c:v>9666834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18113486</c:v>
                </c:pt>
                <c:pt idx="1">
                  <c:v>18998692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11003841</c:v>
                </c:pt>
                <c:pt idx="1">
                  <c:v>9666834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18113486</c:v>
                </c:pt>
                <c:pt idx="1">
                  <c:v>18998692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11003841</c:v>
                </c:pt>
                <c:pt idx="1">
                  <c:v>9666834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G16" sqref="G16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128</v>
      </c>
      <c r="B1" s="369"/>
      <c r="C1" s="369"/>
      <c r="D1" s="369"/>
      <c r="E1" s="369"/>
    </row>
    <row r="3" spans="1:7" x14ac:dyDescent="0.2">
      <c r="A3" s="367" t="s">
        <v>95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4" t="s">
        <v>1</v>
      </c>
      <c r="B7" s="265" t="s">
        <v>11</v>
      </c>
      <c r="C7" s="265" t="s">
        <v>12</v>
      </c>
      <c r="D7" s="265" t="s">
        <v>4</v>
      </c>
      <c r="E7" s="266" t="s">
        <v>5</v>
      </c>
    </row>
    <row r="8" spans="1:7" s="4" customFormat="1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8" t="s">
        <v>96</v>
      </c>
    </row>
    <row r="9" spans="1:7" ht="18.95" customHeight="1" thickTop="1" x14ac:dyDescent="0.2">
      <c r="A9" s="223" t="s">
        <v>102</v>
      </c>
      <c r="B9" s="227">
        <v>5466362</v>
      </c>
      <c r="C9" s="232">
        <v>5504962</v>
      </c>
      <c r="D9" s="232">
        <v>2155375</v>
      </c>
      <c r="E9" s="80">
        <f>(D9/C9)*100</f>
        <v>39.153312956565365</v>
      </c>
    </row>
    <row r="10" spans="1:7" ht="18.95" customHeight="1" x14ac:dyDescent="0.2">
      <c r="A10" s="223" t="s">
        <v>103</v>
      </c>
      <c r="B10" s="228">
        <v>484465</v>
      </c>
      <c r="C10" s="232">
        <v>554432</v>
      </c>
      <c r="D10" s="232">
        <v>355398</v>
      </c>
      <c r="E10" s="81">
        <f t="shared" ref="E10:E15" si="0">(D10/C10)*100</f>
        <v>64.101278425487706</v>
      </c>
    </row>
    <row r="11" spans="1:7" ht="18.95" customHeight="1" x14ac:dyDescent="0.2">
      <c r="A11" s="298" t="s">
        <v>104</v>
      </c>
      <c r="B11" s="228">
        <v>10205</v>
      </c>
      <c r="C11" s="232">
        <v>10205</v>
      </c>
      <c r="D11" s="232">
        <v>17701</v>
      </c>
      <c r="E11" s="81">
        <f t="shared" si="0"/>
        <v>173.45418912297893</v>
      </c>
    </row>
    <row r="12" spans="1:7" ht="18.95" customHeight="1" x14ac:dyDescent="0.2">
      <c r="A12" s="224" t="s">
        <v>105</v>
      </c>
      <c r="B12" s="229">
        <v>145171</v>
      </c>
      <c r="C12" s="233">
        <v>12055298</v>
      </c>
      <c r="D12" s="233">
        <v>18760866</v>
      </c>
      <c r="E12" s="81">
        <f t="shared" si="0"/>
        <v>155.6234113831114</v>
      </c>
      <c r="G12" s="11"/>
    </row>
    <row r="13" spans="1:7" ht="18.95" customHeight="1" x14ac:dyDescent="0.25">
      <c r="A13" s="12" t="s">
        <v>8</v>
      </c>
      <c r="B13" s="230">
        <f>SUM(B9:B12)</f>
        <v>6106203</v>
      </c>
      <c r="C13" s="234">
        <f>SUM(C9:C12)</f>
        <v>18124897</v>
      </c>
      <c r="D13" s="234">
        <f>SUM(D9:D12)</f>
        <v>21289340</v>
      </c>
      <c r="E13" s="83">
        <f t="shared" si="0"/>
        <v>117.45909507789203</v>
      </c>
    </row>
    <row r="14" spans="1:7" s="6" customFormat="1" ht="21.75" customHeight="1" x14ac:dyDescent="0.2">
      <c r="A14" s="7" t="s">
        <v>106</v>
      </c>
      <c r="B14" s="227">
        <v>10527</v>
      </c>
      <c r="C14" s="235">
        <v>11411</v>
      </c>
      <c r="D14" s="232">
        <v>10285499</v>
      </c>
      <c r="E14" s="81">
        <f t="shared" si="0"/>
        <v>90136.701428446235</v>
      </c>
    </row>
    <row r="15" spans="1:7" s="6" customFormat="1" ht="45.75" customHeight="1" thickBot="1" x14ac:dyDescent="0.3">
      <c r="A15" s="8" t="s">
        <v>7</v>
      </c>
      <c r="B15" s="231">
        <f>B13-B14</f>
        <v>6095676</v>
      </c>
      <c r="C15" s="236">
        <f>C13-C14</f>
        <v>18113486</v>
      </c>
      <c r="D15" s="236">
        <f>D13-D14</f>
        <v>11003841</v>
      </c>
      <c r="E15" s="82">
        <f t="shared" si="0"/>
        <v>60.749438291447596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8" t="s">
        <v>126</v>
      </c>
      <c r="B17" s="368"/>
      <c r="C17" s="368"/>
      <c r="D17" s="368"/>
      <c r="E17" s="368"/>
    </row>
    <row r="18" spans="1:7" x14ac:dyDescent="0.2">
      <c r="A18" s="368"/>
      <c r="B18" s="368"/>
      <c r="C18" s="368"/>
      <c r="D18" s="368"/>
      <c r="E18" s="368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3"/>
      <c r="C24" s="263"/>
      <c r="D24" s="263"/>
    </row>
    <row r="25" spans="1:7" ht="28.5" customHeight="1" x14ac:dyDescent="0.2">
      <c r="B25" s="263"/>
      <c r="C25" s="263"/>
      <c r="D25" s="263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21. 9. 2020
6.4. - Rozpočet Olomouckého kraje 2020 - plnění rozpočtu k 30. 6. 2020
Příloha č. 1 - Plnění rozpočtu Olomouckého kraje k 30. 6. 2020&amp;R&amp;"Arial CE,Kurzíva"Strana &amp;P (Celkem 6)
</oddFooter>
  </headerFooter>
  <ignoredErrors>
    <ignoredError sqref="B13:D1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1"/>
  <sheetViews>
    <sheetView showGridLines="0" view="pageBreakPreview" zoomScaleNormal="100" zoomScaleSheetLayoutView="100" workbookViewId="0">
      <selection activeCell="G16" sqref="G16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129</v>
      </c>
      <c r="B1" s="375"/>
      <c r="C1" s="375"/>
      <c r="D1" s="375"/>
      <c r="E1" s="375"/>
      <c r="F1" s="375"/>
      <c r="G1" s="14"/>
      <c r="H1" s="14"/>
      <c r="I1" s="14"/>
      <c r="K1" s="16"/>
    </row>
    <row r="2" spans="1:14" ht="23.25" x14ac:dyDescent="0.35">
      <c r="A2" s="376"/>
      <c r="B2" s="376"/>
      <c r="C2" s="376"/>
      <c r="D2" s="376"/>
      <c r="E2" s="376"/>
      <c r="F2" s="376"/>
      <c r="G2" s="18"/>
      <c r="H2" s="18"/>
      <c r="I2" s="18"/>
      <c r="K2" s="16"/>
    </row>
    <row r="3" spans="1:14" ht="15" thickBot="1" x14ac:dyDescent="0.25">
      <c r="F3" s="297" t="s">
        <v>0</v>
      </c>
      <c r="G3" s="23"/>
      <c r="H3" s="23"/>
      <c r="I3" s="23"/>
    </row>
    <row r="4" spans="1:14" s="25" customFormat="1" ht="24" thickTop="1" thickBot="1" x14ac:dyDescent="0.25">
      <c r="A4" s="269" t="s">
        <v>9</v>
      </c>
      <c r="B4" s="270" t="s">
        <v>10</v>
      </c>
      <c r="C4" s="271" t="s">
        <v>11</v>
      </c>
      <c r="D4" s="271" t="s">
        <v>12</v>
      </c>
      <c r="E4" s="271" t="s">
        <v>4</v>
      </c>
      <c r="F4" s="272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7">
        <v>1</v>
      </c>
      <c r="B5" s="265">
        <v>2</v>
      </c>
      <c r="C5" s="265">
        <v>3</v>
      </c>
      <c r="D5" s="265">
        <v>4</v>
      </c>
      <c r="E5" s="265">
        <v>5</v>
      </c>
      <c r="F5" s="273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5" t="s">
        <v>13</v>
      </c>
      <c r="B6" s="113">
        <v>1</v>
      </c>
      <c r="C6" s="86">
        <f>SUM(C7:C9)</f>
        <v>45868</v>
      </c>
      <c r="D6" s="86">
        <f t="shared" ref="D6:E6" si="0">SUM(D7:D9)</f>
        <v>46095</v>
      </c>
      <c r="E6" s="86">
        <f t="shared" si="0"/>
        <v>11793</v>
      </c>
      <c r="F6" s="350">
        <f t="shared" ref="F6:F32" si="1">(E6/D6)*100</f>
        <v>25.584119752684675</v>
      </c>
      <c r="G6" s="27"/>
      <c r="H6" s="27"/>
      <c r="I6" s="27"/>
      <c r="J6" s="193"/>
      <c r="K6" s="67"/>
      <c r="N6" s="251"/>
    </row>
    <row r="7" spans="1:14" s="32" customFormat="1" x14ac:dyDescent="0.2">
      <c r="A7" s="28" t="s">
        <v>109</v>
      </c>
      <c r="B7" s="309"/>
      <c r="C7" s="30">
        <f>45868-C9</f>
        <v>45311</v>
      </c>
      <c r="D7" s="30">
        <f>46095-D9</f>
        <v>45525</v>
      </c>
      <c r="E7" s="30">
        <f>11793-E9</f>
        <v>11549</v>
      </c>
      <c r="F7" s="351">
        <f t="shared" si="1"/>
        <v>25.368478857770455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4"/>
      <c r="C8" s="30">
        <v>0</v>
      </c>
      <c r="D8" s="30">
        <v>0</v>
      </c>
      <c r="E8" s="30">
        <v>0</v>
      </c>
      <c r="F8" s="351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18" t="s">
        <v>108</v>
      </c>
      <c r="B9" s="312"/>
      <c r="C9" s="352">
        <v>557</v>
      </c>
      <c r="D9" s="352">
        <v>570</v>
      </c>
      <c r="E9" s="352">
        <v>244</v>
      </c>
      <c r="F9" s="305">
        <f t="shared" si="1"/>
        <v>42.807017543859651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3" t="s">
        <v>86</v>
      </c>
      <c r="B10" s="326">
        <v>3</v>
      </c>
      <c r="C10" s="349">
        <f>SUM(C11:C13)</f>
        <v>425240</v>
      </c>
      <c r="D10" s="349">
        <f>SUM(D11:D13)</f>
        <v>466507</v>
      </c>
      <c r="E10" s="349">
        <f>SUM(E11:E13)</f>
        <v>175511</v>
      </c>
      <c r="F10" s="350">
        <f t="shared" si="1"/>
        <v>37.622372225925872</v>
      </c>
      <c r="G10" s="252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425240-C13</f>
        <v>415270</v>
      </c>
      <c r="D11" s="30">
        <f>466507-D13-D12</f>
        <v>448785</v>
      </c>
      <c r="E11" s="30">
        <f>175511-E13-E12</f>
        <v>169964</v>
      </c>
      <c r="F11" s="351">
        <f t="shared" si="1"/>
        <v>37.872032264892994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0</v>
      </c>
      <c r="D12" s="30">
        <v>6881</v>
      </c>
      <c r="E12" s="30">
        <v>397</v>
      </c>
      <c r="F12" s="351">
        <f>(E12/D12)*100</f>
        <v>5.7695102456038363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8" t="s">
        <v>108</v>
      </c>
      <c r="B13" s="309"/>
      <c r="C13" s="30">
        <v>9970</v>
      </c>
      <c r="D13" s="30">
        <v>10841</v>
      </c>
      <c r="E13" s="30">
        <v>5150</v>
      </c>
      <c r="F13" s="305">
        <f t="shared" si="1"/>
        <v>47.50484272668573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2" t="s">
        <v>87</v>
      </c>
      <c r="B14" s="326">
        <v>4</v>
      </c>
      <c r="C14" s="349">
        <f>SUM(C15:C16)</f>
        <v>4842</v>
      </c>
      <c r="D14" s="349">
        <f t="shared" ref="D14:E14" si="2">SUM(D15:D16)</f>
        <v>4842</v>
      </c>
      <c r="E14" s="349">
        <f t="shared" si="2"/>
        <v>1141</v>
      </c>
      <c r="F14" s="350">
        <f t="shared" si="1"/>
        <v>23.564642709624124</v>
      </c>
      <c r="G14" s="252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2362</v>
      </c>
      <c r="D15" s="30">
        <v>2282</v>
      </c>
      <c r="E15" s="30">
        <v>478</v>
      </c>
      <c r="F15" s="351">
        <f t="shared" si="1"/>
        <v>20.946538124452236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2480</v>
      </c>
      <c r="D16" s="30">
        <v>2560</v>
      </c>
      <c r="E16" s="30">
        <v>663</v>
      </c>
      <c r="F16" s="305">
        <f t="shared" si="1"/>
        <v>25.8984375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3" t="s">
        <v>120</v>
      </c>
      <c r="B17" s="326">
        <v>6</v>
      </c>
      <c r="C17" s="349">
        <f>SUM(C18:C19)</f>
        <v>57531</v>
      </c>
      <c r="D17" s="349">
        <f>SUM(D18:D19)</f>
        <v>63417</v>
      </c>
      <c r="E17" s="349">
        <f>SUM(E18:E19)</f>
        <v>31824</v>
      </c>
      <c r="F17" s="350">
        <f t="shared" ref="F17" si="3">(E17/D17)*100</f>
        <v>50.182127820615918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35531</v>
      </c>
      <c r="D18" s="30">
        <v>38527</v>
      </c>
      <c r="E18" s="30">
        <v>14169</v>
      </c>
      <c r="F18" s="351">
        <f>(E18/D18)*100</f>
        <v>36.77680587639837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22000</v>
      </c>
      <c r="D19" s="30">
        <v>24890</v>
      </c>
      <c r="E19" s="30">
        <v>17655</v>
      </c>
      <c r="F19" s="305">
        <f t="shared" ref="F19" si="4">(E19/D19)*100</f>
        <v>70.932101245480112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3" t="s">
        <v>19</v>
      </c>
      <c r="B20" s="326">
        <v>7</v>
      </c>
      <c r="C20" s="349">
        <f>SUM(C21:C24)</f>
        <v>301612</v>
      </c>
      <c r="D20" s="349">
        <f>SUM(D21:D24)</f>
        <v>319063</v>
      </c>
      <c r="E20" s="349">
        <f t="shared" ref="E20" si="5">SUM(E21:E24)</f>
        <v>10092418</v>
      </c>
      <c r="F20" s="350">
        <f t="shared" si="1"/>
        <v>3163.1427022249527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301612-C24-C23</f>
        <v>205487</v>
      </c>
      <c r="D21" s="30">
        <f>319063-D24-D23</f>
        <v>319063</v>
      </c>
      <c r="E21" s="30">
        <f>10092418-E24-E23</f>
        <v>49472</v>
      </c>
      <c r="F21" s="351">
        <f>(E21/D21)*100</f>
        <v>15.505401754512432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51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10" t="s">
        <v>110</v>
      </c>
      <c r="B23" s="309"/>
      <c r="C23" s="30">
        <v>96125</v>
      </c>
      <c r="D23" s="30">
        <v>0</v>
      </c>
      <c r="E23" s="30">
        <v>0</v>
      </c>
      <c r="F23" s="351"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8" t="s">
        <v>108</v>
      </c>
      <c r="B24" s="312"/>
      <c r="C24" s="352">
        <v>0</v>
      </c>
      <c r="D24" s="352">
        <v>0</v>
      </c>
      <c r="E24" s="352">
        <v>10042946</v>
      </c>
      <c r="F24" s="305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7" t="s">
        <v>88</v>
      </c>
      <c r="B25" s="37">
        <v>8</v>
      </c>
      <c r="C25" s="353">
        <f>SUM(C26:C28)</f>
        <v>91976</v>
      </c>
      <c r="D25" s="353">
        <f t="shared" ref="D25:E25" si="6">SUM(D26:D28)</f>
        <v>119960</v>
      </c>
      <c r="E25" s="353">
        <f t="shared" si="6"/>
        <v>19770</v>
      </c>
      <c r="F25" s="350">
        <f>(E25/D25)*100</f>
        <v>16.480493497832612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91976-C28-C27</f>
        <v>21565</v>
      </c>
      <c r="D26" s="30">
        <f>119960-D28-D27</f>
        <v>23718</v>
      </c>
      <c r="E26" s="30">
        <f>19770-E28-E27</f>
        <v>6136</v>
      </c>
      <c r="F26" s="351">
        <f t="shared" si="1"/>
        <v>25.870646766169152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51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8" t="s">
        <v>110</v>
      </c>
      <c r="B28" s="312"/>
      <c r="C28" s="352">
        <v>70411</v>
      </c>
      <c r="D28" s="352">
        <v>96242</v>
      </c>
      <c r="E28" s="352">
        <v>13634</v>
      </c>
      <c r="F28" s="305">
        <f t="shared" si="1"/>
        <v>14.166372269902952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7" t="s">
        <v>20</v>
      </c>
      <c r="B29" s="37">
        <v>9</v>
      </c>
      <c r="C29" s="353">
        <f>SUM(C30:C32)</f>
        <v>25152</v>
      </c>
      <c r="D29" s="353">
        <f t="shared" ref="D29" si="7">SUM(D30:D32)</f>
        <v>65473</v>
      </c>
      <c r="E29" s="353">
        <f>SUM(E30:E32)</f>
        <v>28233</v>
      </c>
      <c r="F29" s="350">
        <f t="shared" si="1"/>
        <v>43.121592106669922</v>
      </c>
      <c r="G29" s="252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361">
        <f>25152-C32</f>
        <v>6152</v>
      </c>
      <c r="D30" s="361">
        <f>65473-D32</f>
        <v>10767</v>
      </c>
      <c r="E30" s="361">
        <f>28233-E32</f>
        <v>-7274</v>
      </c>
      <c r="F30" s="351">
        <f>(E30/D30)*100</f>
        <v>-67.558279929413942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361">
        <v>0</v>
      </c>
      <c r="E31" s="30">
        <v>0</v>
      </c>
      <c r="F31" s="351">
        <v>0</v>
      </c>
      <c r="G31" s="31"/>
      <c r="H31" s="31"/>
      <c r="I31" s="88"/>
      <c r="J31" s="88"/>
      <c r="K31" s="55"/>
    </row>
    <row r="32" spans="1:14" s="32" customFormat="1" x14ac:dyDescent="0.2">
      <c r="A32" s="318" t="s">
        <v>110</v>
      </c>
      <c r="B32" s="312"/>
      <c r="C32" s="352">
        <v>19000</v>
      </c>
      <c r="D32" s="362">
        <v>54706</v>
      </c>
      <c r="E32" s="362">
        <v>35507</v>
      </c>
      <c r="F32" s="351">
        <f t="shared" si="1"/>
        <v>64.905129236281212</v>
      </c>
      <c r="G32" s="31"/>
      <c r="H32" s="253"/>
      <c r="I32" s="253"/>
      <c r="J32" s="253"/>
      <c r="K32" s="55"/>
      <c r="N32" s="33"/>
    </row>
    <row r="33" spans="1:15" s="48" customFormat="1" ht="15" x14ac:dyDescent="0.25">
      <c r="A33" s="322" t="s">
        <v>99</v>
      </c>
      <c r="B33" s="323">
        <v>10</v>
      </c>
      <c r="C33" s="349">
        <f>C34+C38+C41</f>
        <v>40670</v>
      </c>
      <c r="D33" s="349">
        <f>D34+D38+D41</f>
        <v>9782964</v>
      </c>
      <c r="E33" s="349">
        <f>E34+E38+E41</f>
        <v>4947665</v>
      </c>
      <c r="F33" s="358">
        <f t="shared" ref="F33:F59" si="8">(E33/D33)*100</f>
        <v>50.574294252743854</v>
      </c>
      <c r="G33" s="27"/>
      <c r="H33" s="67"/>
      <c r="I33" s="67"/>
      <c r="J33" s="193"/>
      <c r="K33" s="67"/>
      <c r="N33" s="254"/>
    </row>
    <row r="34" spans="1:15" s="48" customFormat="1" x14ac:dyDescent="0.2">
      <c r="A34" s="308" t="s">
        <v>21</v>
      </c>
      <c r="B34" s="307"/>
      <c r="C34" s="354">
        <f>C35+C36+C37</f>
        <v>30675</v>
      </c>
      <c r="D34" s="354">
        <f>D35+D36+D37</f>
        <v>63491</v>
      </c>
      <c r="E34" s="354">
        <f>E35+E36+E37</f>
        <v>57514</v>
      </c>
      <c r="F34" s="351">
        <f t="shared" si="8"/>
        <v>90.586067316627549</v>
      </c>
      <c r="G34" s="31"/>
      <c r="H34" s="31"/>
      <c r="I34" s="31"/>
      <c r="J34" s="69"/>
      <c r="K34" s="255"/>
      <c r="L34" s="76"/>
      <c r="M34" s="76"/>
      <c r="N34" s="69"/>
      <c r="O34" s="76"/>
    </row>
    <row r="35" spans="1:15" s="48" customFormat="1" x14ac:dyDescent="0.2">
      <c r="A35" s="28" t="s">
        <v>109</v>
      </c>
      <c r="B35" s="328"/>
      <c r="C35" s="30">
        <v>2095</v>
      </c>
      <c r="D35" s="30">
        <v>20911</v>
      </c>
      <c r="E35" s="30">
        <v>19095</v>
      </c>
      <c r="F35" s="351">
        <f t="shared" si="8"/>
        <v>91.315575534407728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107</v>
      </c>
      <c r="B36" s="329"/>
      <c r="C36" s="30">
        <v>0</v>
      </c>
      <c r="D36" s="30">
        <v>0</v>
      </c>
      <c r="E36" s="30">
        <v>0</v>
      </c>
      <c r="F36" s="351">
        <v>0</v>
      </c>
      <c r="G36" s="31"/>
      <c r="H36" s="31"/>
      <c r="I36" s="31"/>
      <c r="J36" s="69"/>
      <c r="K36" s="55"/>
      <c r="L36" s="256"/>
      <c r="M36" s="76"/>
      <c r="N36" s="69"/>
      <c r="O36" s="76"/>
    </row>
    <row r="37" spans="1:15" s="48" customFormat="1" x14ac:dyDescent="0.2">
      <c r="A37" s="310" t="s">
        <v>110</v>
      </c>
      <c r="B37" s="329"/>
      <c r="C37" s="30">
        <v>28580</v>
      </c>
      <c r="D37" s="30">
        <v>42580</v>
      </c>
      <c r="E37" s="30">
        <v>38419</v>
      </c>
      <c r="F37" s="351">
        <f>(E37/D37)*100</f>
        <v>90.227806481916389</v>
      </c>
      <c r="G37" s="31"/>
      <c r="H37" s="31"/>
      <c r="I37" s="31"/>
      <c r="J37" s="69"/>
      <c r="K37" s="55"/>
      <c r="L37" s="256"/>
      <c r="M37" s="76"/>
      <c r="N37" s="69"/>
      <c r="O37" s="76"/>
    </row>
    <row r="38" spans="1:15" s="48" customFormat="1" x14ac:dyDescent="0.2">
      <c r="A38" s="51" t="s">
        <v>22</v>
      </c>
      <c r="B38" s="329"/>
      <c r="C38" s="354">
        <f>C39+C40</f>
        <v>9995</v>
      </c>
      <c r="D38" s="354">
        <f>D39+D40</f>
        <v>3233075</v>
      </c>
      <c r="E38" s="354">
        <f>E39+E40</f>
        <v>1631454</v>
      </c>
      <c r="F38" s="351">
        <f t="shared" si="8"/>
        <v>50.461371913735377</v>
      </c>
      <c r="G38" s="31"/>
      <c r="H38" s="31"/>
      <c r="I38" s="31"/>
      <c r="J38" s="193"/>
      <c r="K38" s="255"/>
      <c r="L38" s="76"/>
      <c r="M38" s="76"/>
      <c r="N38" s="69"/>
      <c r="O38" s="76"/>
    </row>
    <row r="39" spans="1:15" s="48" customFormat="1" x14ac:dyDescent="0.2">
      <c r="A39" s="28" t="s">
        <v>109</v>
      </c>
      <c r="B39" s="329"/>
      <c r="C39" s="30">
        <f>10875-880</f>
        <v>9995</v>
      </c>
      <c r="D39" s="30">
        <f>3233522-447</f>
        <v>3233075</v>
      </c>
      <c r="E39" s="30">
        <f>1631871-417</f>
        <v>1631454</v>
      </c>
      <c r="F39" s="351">
        <f t="shared" si="8"/>
        <v>50.461371913735377</v>
      </c>
      <c r="G39" s="257"/>
      <c r="H39" s="257"/>
      <c r="I39" s="31"/>
      <c r="J39" s="193"/>
      <c r="K39" s="55"/>
      <c r="L39" s="76"/>
      <c r="M39" s="76"/>
      <c r="N39" s="69"/>
      <c r="O39" s="76"/>
    </row>
    <row r="40" spans="1:15" s="48" customFormat="1" x14ac:dyDescent="0.2">
      <c r="A40" s="28" t="s">
        <v>107</v>
      </c>
      <c r="B40" s="329"/>
      <c r="C40" s="30">
        <v>0</v>
      </c>
      <c r="D40" s="30">
        <v>0</v>
      </c>
      <c r="E40" s="30">
        <v>0</v>
      </c>
      <c r="F40" s="351">
        <v>0</v>
      </c>
      <c r="G40" s="31"/>
      <c r="H40" s="31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330" t="s">
        <v>119</v>
      </c>
      <c r="B41" s="329"/>
      <c r="C41" s="363">
        <f>C42+C43</f>
        <v>0</v>
      </c>
      <c r="D41" s="363">
        <f t="shared" ref="D41:E41" si="9">D42+D43</f>
        <v>6486398</v>
      </c>
      <c r="E41" s="363">
        <f t="shared" si="9"/>
        <v>3258697</v>
      </c>
      <c r="F41" s="364">
        <f t="shared" si="8"/>
        <v>50.238930759413783</v>
      </c>
      <c r="G41" s="31"/>
      <c r="H41" s="31"/>
      <c r="I41" s="31"/>
      <c r="J41" s="69"/>
      <c r="K41" s="255"/>
      <c r="L41" s="76"/>
      <c r="M41" s="76"/>
      <c r="N41" s="69"/>
      <c r="O41" s="76"/>
    </row>
    <row r="42" spans="1:15" s="48" customFormat="1" x14ac:dyDescent="0.2">
      <c r="A42" s="28" t="s">
        <v>109</v>
      </c>
      <c r="B42" s="329"/>
      <c r="C42" s="30">
        <f>0+0</f>
        <v>0</v>
      </c>
      <c r="D42" s="30">
        <v>6486398</v>
      </c>
      <c r="E42" s="30">
        <v>3258697</v>
      </c>
      <c r="F42" s="351">
        <f t="shared" si="8"/>
        <v>50.238930759413783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11" t="s">
        <v>107</v>
      </c>
      <c r="B43" s="331"/>
      <c r="C43" s="352">
        <v>0</v>
      </c>
      <c r="D43" s="352">
        <v>0</v>
      </c>
      <c r="E43" s="352">
        <v>0</v>
      </c>
      <c r="F43" s="305">
        <v>0</v>
      </c>
      <c r="G43" s="31"/>
      <c r="H43" s="31"/>
      <c r="I43" s="166"/>
      <c r="J43" s="69"/>
      <c r="K43" s="55"/>
      <c r="L43" s="76"/>
      <c r="M43" s="69"/>
      <c r="N43" s="69"/>
      <c r="O43" s="76"/>
    </row>
    <row r="44" spans="1:15" ht="15" x14ac:dyDescent="0.25">
      <c r="A44" s="306" t="s">
        <v>23</v>
      </c>
      <c r="B44" s="307">
        <v>11</v>
      </c>
      <c r="C44" s="353">
        <f>C45+C49</f>
        <v>72355</v>
      </c>
      <c r="D44" s="353">
        <f>D45+D49</f>
        <v>1455354</v>
      </c>
      <c r="E44" s="353">
        <f>E45+E49</f>
        <v>1387752</v>
      </c>
      <c r="F44" s="350">
        <f t="shared" si="8"/>
        <v>95.354944570187044</v>
      </c>
      <c r="G44" s="252"/>
      <c r="H44" s="67"/>
      <c r="I44" s="67"/>
      <c r="J44" s="193"/>
      <c r="K44" s="67"/>
      <c r="L44" s="78"/>
      <c r="M44" s="78"/>
      <c r="N44" s="79"/>
      <c r="O44" s="78"/>
    </row>
    <row r="45" spans="1:15" s="32" customFormat="1" x14ac:dyDescent="0.2">
      <c r="A45" s="308" t="s">
        <v>21</v>
      </c>
      <c r="B45" s="309"/>
      <c r="C45" s="354">
        <f>C46+C47+C48</f>
        <v>72355</v>
      </c>
      <c r="D45" s="354">
        <f t="shared" ref="D45:E45" si="10">D46+D47+D48</f>
        <v>770842</v>
      </c>
      <c r="E45" s="354">
        <f t="shared" si="10"/>
        <v>703240</v>
      </c>
      <c r="F45" s="351">
        <f t="shared" si="8"/>
        <v>91.230109412823907</v>
      </c>
      <c r="G45" s="258"/>
      <c r="H45" s="258"/>
      <c r="I45" s="258"/>
      <c r="J45" s="193"/>
      <c r="K45" s="255"/>
      <c r="L45" s="53"/>
      <c r="M45" s="53"/>
      <c r="N45" s="54"/>
      <c r="O45" s="53"/>
    </row>
    <row r="46" spans="1:15" s="32" customFormat="1" x14ac:dyDescent="0.2">
      <c r="A46" s="28" t="s">
        <v>109</v>
      </c>
      <c r="B46" s="309"/>
      <c r="C46" s="30">
        <v>6205</v>
      </c>
      <c r="D46" s="30">
        <f>1455354-D48-D49</f>
        <v>697981</v>
      </c>
      <c r="E46" s="30">
        <f>1387752-E50-E48</f>
        <v>693498</v>
      </c>
      <c r="F46" s="351">
        <f t="shared" si="8"/>
        <v>99.35771890638857</v>
      </c>
      <c r="G46" s="258"/>
      <c r="H46" s="258"/>
      <c r="I46" s="258"/>
      <c r="J46" s="193"/>
      <c r="K46" s="55"/>
      <c r="L46" s="77"/>
      <c r="M46" s="53"/>
      <c r="N46" s="54"/>
      <c r="O46" s="53"/>
    </row>
    <row r="47" spans="1:15" s="32" customFormat="1" x14ac:dyDescent="0.2">
      <c r="A47" s="28" t="s">
        <v>107</v>
      </c>
      <c r="B47" s="309"/>
      <c r="C47" s="30">
        <v>0</v>
      </c>
      <c r="D47" s="30">
        <v>0</v>
      </c>
      <c r="E47" s="30">
        <v>0</v>
      </c>
      <c r="F47" s="351">
        <v>0</v>
      </c>
      <c r="G47" s="258"/>
      <c r="H47" s="258"/>
      <c r="I47" s="258"/>
      <c r="J47" s="193"/>
      <c r="K47" s="55"/>
      <c r="L47" s="53"/>
      <c r="M47" s="53"/>
      <c r="N47" s="54"/>
      <c r="O47" s="53"/>
    </row>
    <row r="48" spans="1:15" s="32" customFormat="1" x14ac:dyDescent="0.2">
      <c r="A48" s="310" t="s">
        <v>110</v>
      </c>
      <c r="B48" s="309"/>
      <c r="C48" s="30">
        <v>66150</v>
      </c>
      <c r="D48" s="30">
        <v>72861</v>
      </c>
      <c r="E48" s="30">
        <v>9742</v>
      </c>
      <c r="F48" s="351">
        <f t="shared" si="8"/>
        <v>13.37066469030071</v>
      </c>
      <c r="G48" s="258"/>
      <c r="H48" s="258"/>
      <c r="I48" s="258"/>
      <c r="J48" s="193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307"/>
      <c r="C49" s="354">
        <f>C50+C51</f>
        <v>0</v>
      </c>
      <c r="D49" s="354">
        <f t="shared" ref="D49:E49" si="11">D50+D51</f>
        <v>684512</v>
      </c>
      <c r="E49" s="354">
        <f t="shared" si="11"/>
        <v>684512</v>
      </c>
      <c r="F49" s="351">
        <f t="shared" ref="F49:F50" si="12">(E49/D49)*100</f>
        <v>100</v>
      </c>
      <c r="G49" s="258"/>
      <c r="H49" s="258"/>
      <c r="I49" s="258"/>
      <c r="J49" s="193"/>
      <c r="K49" s="255"/>
      <c r="L49" s="78"/>
      <c r="M49" s="78"/>
      <c r="N49" s="79"/>
      <c r="O49" s="78"/>
    </row>
    <row r="50" spans="1:15" ht="15" customHeight="1" x14ac:dyDescent="0.2">
      <c r="A50" s="28" t="s">
        <v>109</v>
      </c>
      <c r="B50" s="307"/>
      <c r="C50" s="30">
        <v>0</v>
      </c>
      <c r="D50" s="30">
        <v>684512</v>
      </c>
      <c r="E50" s="30">
        <v>684512</v>
      </c>
      <c r="F50" s="351">
        <f t="shared" si="12"/>
        <v>100</v>
      </c>
      <c r="G50" s="31"/>
      <c r="H50" s="31"/>
      <c r="I50" s="31"/>
      <c r="J50" s="193"/>
      <c r="K50" s="55"/>
      <c r="L50" s="78"/>
      <c r="M50" s="78"/>
      <c r="N50" s="79"/>
      <c r="O50" s="78"/>
    </row>
    <row r="51" spans="1:15" ht="15" customHeight="1" x14ac:dyDescent="0.2">
      <c r="A51" s="28" t="s">
        <v>107</v>
      </c>
      <c r="B51" s="307"/>
      <c r="C51" s="30">
        <v>0</v>
      </c>
      <c r="D51" s="30">
        <v>0</v>
      </c>
      <c r="E51" s="30">
        <v>0</v>
      </c>
      <c r="F51" s="305">
        <v>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5">
      <c r="A52" s="332" t="s">
        <v>24</v>
      </c>
      <c r="B52" s="323">
        <v>12</v>
      </c>
      <c r="C52" s="349">
        <f>C53+C57</f>
        <v>181975</v>
      </c>
      <c r="D52" s="349">
        <f>D53+D57</f>
        <v>768752</v>
      </c>
      <c r="E52" s="349">
        <f>E53+E57</f>
        <v>287708</v>
      </c>
      <c r="F52" s="350">
        <f t="shared" si="8"/>
        <v>37.425333527587576</v>
      </c>
      <c r="G52" s="27"/>
      <c r="H52" s="67"/>
      <c r="I52" s="67"/>
      <c r="J52" s="193"/>
      <c r="K52" s="67"/>
      <c r="L52" s="78"/>
      <c r="M52" s="78"/>
      <c r="N52" s="79"/>
      <c r="O52" s="78"/>
    </row>
    <row r="53" spans="1:15" ht="15" customHeight="1" x14ac:dyDescent="0.2">
      <c r="A53" s="308" t="s">
        <v>21</v>
      </c>
      <c r="B53" s="307"/>
      <c r="C53" s="354">
        <f>C54+C55+C56</f>
        <v>32600</v>
      </c>
      <c r="D53" s="354">
        <f>D54+D55+D56</f>
        <v>47046</v>
      </c>
      <c r="E53" s="354">
        <f t="shared" ref="E53" si="13">E54+E55+E56</f>
        <v>30583</v>
      </c>
      <c r="F53" s="351">
        <f t="shared" si="8"/>
        <v>65.006589295583055</v>
      </c>
      <c r="G53" s="258"/>
      <c r="H53" s="258"/>
      <c r="I53" s="258"/>
      <c r="J53" s="193"/>
      <c r="K53" s="255"/>
      <c r="L53" s="78"/>
      <c r="M53" s="78"/>
      <c r="N53" s="79"/>
      <c r="O53" s="78"/>
    </row>
    <row r="54" spans="1:15" ht="15" customHeight="1" x14ac:dyDescent="0.2">
      <c r="A54" s="28" t="s">
        <v>109</v>
      </c>
      <c r="B54" s="307"/>
      <c r="C54" s="30">
        <v>600</v>
      </c>
      <c r="D54" s="30">
        <v>3256</v>
      </c>
      <c r="E54" s="30">
        <v>2487</v>
      </c>
      <c r="F54" s="351">
        <f t="shared" si="8"/>
        <v>76.382063882063875</v>
      </c>
      <c r="G54" s="31"/>
      <c r="H54" s="31"/>
      <c r="I54" s="31"/>
      <c r="J54" s="193"/>
      <c r="K54" s="55"/>
      <c r="L54" s="77"/>
      <c r="M54" s="78"/>
      <c r="N54" s="79"/>
      <c r="O54" s="78"/>
    </row>
    <row r="55" spans="1:15" ht="15" customHeight="1" x14ac:dyDescent="0.2">
      <c r="A55" s="28" t="s">
        <v>107</v>
      </c>
      <c r="B55" s="307"/>
      <c r="C55" s="30">
        <v>0</v>
      </c>
      <c r="D55" s="30">
        <v>0</v>
      </c>
      <c r="E55" s="30">
        <v>0</v>
      </c>
      <c r="F55" s="351">
        <v>0</v>
      </c>
      <c r="G55" s="31"/>
      <c r="H55" s="31"/>
      <c r="I55" s="31"/>
      <c r="J55" s="193"/>
      <c r="K55" s="55"/>
      <c r="L55" s="78"/>
      <c r="M55" s="78"/>
      <c r="N55" s="79"/>
      <c r="O55" s="78"/>
    </row>
    <row r="56" spans="1:15" ht="15" customHeight="1" x14ac:dyDescent="0.2">
      <c r="A56" s="310" t="s">
        <v>110</v>
      </c>
      <c r="B56" s="307"/>
      <c r="C56" s="30">
        <v>32000</v>
      </c>
      <c r="D56" s="30">
        <v>43790</v>
      </c>
      <c r="E56" s="30">
        <v>28096</v>
      </c>
      <c r="F56" s="351">
        <f t="shared" si="8"/>
        <v>64.160767298469963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307"/>
      <c r="C57" s="354">
        <f>C58+C59</f>
        <v>149375</v>
      </c>
      <c r="D57" s="354">
        <f t="shared" ref="D57:E57" si="14">D58+D59</f>
        <v>721706</v>
      </c>
      <c r="E57" s="354">
        <f t="shared" si="14"/>
        <v>257125</v>
      </c>
      <c r="F57" s="351">
        <f t="shared" si="8"/>
        <v>35.627388437951183</v>
      </c>
      <c r="G57" s="258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109</v>
      </c>
      <c r="B58" s="307"/>
      <c r="C58" s="30">
        <v>0</v>
      </c>
      <c r="D58" s="30">
        <v>212871</v>
      </c>
      <c r="E58" s="30">
        <v>7736</v>
      </c>
      <c r="F58" s="351">
        <f t="shared" si="8"/>
        <v>3.634125832076704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thickBot="1" x14ac:dyDescent="0.25">
      <c r="A59" s="335" t="s">
        <v>107</v>
      </c>
      <c r="B59" s="336"/>
      <c r="C59" s="365">
        <v>149375</v>
      </c>
      <c r="D59" s="365">
        <v>508835</v>
      </c>
      <c r="E59" s="365">
        <v>249389</v>
      </c>
      <c r="F59" s="366">
        <f t="shared" si="8"/>
        <v>49.011762162587083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33"/>
      <c r="C60" s="88"/>
      <c r="D60" s="88"/>
      <c r="E60" s="88"/>
      <c r="F60" s="334"/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Bot="1" x14ac:dyDescent="0.25">
      <c r="A61" s="299"/>
      <c r="B61" s="243"/>
      <c r="C61" s="300"/>
      <c r="D61" s="300"/>
      <c r="E61" s="300"/>
      <c r="F61" s="297" t="s">
        <v>0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Top="1" thickBot="1" x14ac:dyDescent="0.25">
      <c r="A62" s="269" t="s">
        <v>9</v>
      </c>
      <c r="B62" s="270" t="s">
        <v>10</v>
      </c>
      <c r="C62" s="271" t="s">
        <v>11</v>
      </c>
      <c r="D62" s="271" t="s">
        <v>12</v>
      </c>
      <c r="E62" s="271" t="s">
        <v>4</v>
      </c>
      <c r="F62" s="272" t="s">
        <v>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7">
        <v>1</v>
      </c>
      <c r="B63" s="265">
        <v>2</v>
      </c>
      <c r="C63" s="265">
        <v>3</v>
      </c>
      <c r="D63" s="265">
        <v>4</v>
      </c>
      <c r="E63" s="265">
        <v>5</v>
      </c>
      <c r="F63" s="273" t="s">
        <v>97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x14ac:dyDescent="0.25">
      <c r="A64" s="332" t="s">
        <v>111</v>
      </c>
      <c r="B64" s="323">
        <v>13</v>
      </c>
      <c r="C64" s="349">
        <f>SUM(C65:C67)</f>
        <v>290006</v>
      </c>
      <c r="D64" s="349">
        <f t="shared" ref="D64:E64" si="15">SUM(D65:D67)</f>
        <v>380024</v>
      </c>
      <c r="E64" s="349">
        <f t="shared" si="15"/>
        <v>219671</v>
      </c>
      <c r="F64" s="350">
        <f t="shared" ref="F64:F67" si="16">(E64/D64)*100</f>
        <v>57.804507083763134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x14ac:dyDescent="0.2">
      <c r="A65" s="28" t="s">
        <v>109</v>
      </c>
      <c r="B65" s="307"/>
      <c r="C65" s="30">
        <f>290006-C67-C66</f>
        <v>15346</v>
      </c>
      <c r="D65" s="30">
        <f>380024-D67-D66</f>
        <v>44256</v>
      </c>
      <c r="E65" s="30">
        <f>219671-E67-E66</f>
        <v>16710</v>
      </c>
      <c r="F65" s="351">
        <f t="shared" si="16"/>
        <v>37.757592190889369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107</v>
      </c>
      <c r="B66" s="307"/>
      <c r="C66" s="30">
        <v>0</v>
      </c>
      <c r="D66" s="30">
        <v>0</v>
      </c>
      <c r="E66" s="30">
        <v>0</v>
      </c>
      <c r="F66" s="351">
        <v>0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318" t="s">
        <v>110</v>
      </c>
      <c r="B67" s="321"/>
      <c r="C67" s="352">
        <v>274660</v>
      </c>
      <c r="D67" s="352">
        <v>335768</v>
      </c>
      <c r="E67" s="352">
        <v>202961</v>
      </c>
      <c r="F67" s="305">
        <f t="shared" si="16"/>
        <v>60.446796597650753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5" customFormat="1" ht="15" x14ac:dyDescent="0.25">
      <c r="A68" s="306" t="s">
        <v>25</v>
      </c>
      <c r="B68" s="307">
        <v>14</v>
      </c>
      <c r="C68" s="353">
        <f>C69+C73</f>
        <v>71710</v>
      </c>
      <c r="D68" s="353">
        <f>D69+D73</f>
        <v>136187</v>
      </c>
      <c r="E68" s="353">
        <f>E69+E73</f>
        <v>81034</v>
      </c>
      <c r="F68" s="350">
        <f t="shared" ref="F68:F103" si="17">(E68/D68)*100</f>
        <v>59.502008268043205</v>
      </c>
      <c r="G68" s="252"/>
      <c r="H68" s="67"/>
      <c r="I68" s="67"/>
      <c r="J68" s="193"/>
      <c r="K68" s="67"/>
      <c r="L68" s="53"/>
      <c r="M68" s="77"/>
      <c r="N68" s="44"/>
      <c r="O68" s="77"/>
    </row>
    <row r="69" spans="1:15" s="32" customFormat="1" x14ac:dyDescent="0.2">
      <c r="A69" s="308" t="s">
        <v>21</v>
      </c>
      <c r="B69" s="309"/>
      <c r="C69" s="354">
        <f>C70+C71+C72</f>
        <v>71710</v>
      </c>
      <c r="D69" s="354">
        <f t="shared" ref="D69:E69" si="18">D70+D71+D72</f>
        <v>77723</v>
      </c>
      <c r="E69" s="354">
        <f t="shared" si="18"/>
        <v>22569</v>
      </c>
      <c r="F69" s="351">
        <f t="shared" si="17"/>
        <v>29.037736577332325</v>
      </c>
      <c r="G69" s="258"/>
      <c r="H69" s="258"/>
      <c r="I69" s="258"/>
      <c r="J69" s="193"/>
      <c r="K69" s="255"/>
      <c r="L69" s="53"/>
      <c r="M69" s="53"/>
      <c r="N69" s="54"/>
      <c r="O69" s="53"/>
    </row>
    <row r="70" spans="1:15" s="32" customFormat="1" x14ac:dyDescent="0.2">
      <c r="A70" s="28" t="s">
        <v>109</v>
      </c>
      <c r="B70" s="309"/>
      <c r="C70" s="30">
        <v>50310</v>
      </c>
      <c r="D70" s="30">
        <v>51191</v>
      </c>
      <c r="E70" s="30">
        <v>19430</v>
      </c>
      <c r="F70" s="351">
        <f>(E70/D70)*100</f>
        <v>37.955890683909281</v>
      </c>
      <c r="G70" s="31"/>
      <c r="H70" s="31"/>
      <c r="I70" s="31"/>
      <c r="J70" s="193"/>
      <c r="K70" s="55"/>
      <c r="L70" s="77"/>
      <c r="M70" s="53"/>
      <c r="N70" s="54"/>
      <c r="O70" s="53"/>
    </row>
    <row r="71" spans="1:15" s="32" customFormat="1" x14ac:dyDescent="0.2">
      <c r="A71" s="28" t="s">
        <v>107</v>
      </c>
      <c r="B71" s="309"/>
      <c r="C71" s="30">
        <v>0</v>
      </c>
      <c r="D71" s="30">
        <v>0</v>
      </c>
      <c r="E71" s="30">
        <v>0</v>
      </c>
      <c r="F71" s="351">
        <v>0</v>
      </c>
      <c r="G71" s="31"/>
      <c r="H71" s="31"/>
      <c r="I71" s="31"/>
      <c r="J71" s="193"/>
      <c r="K71" s="55"/>
      <c r="L71" s="53"/>
      <c r="M71" s="53"/>
      <c r="N71" s="54"/>
      <c r="O71" s="53"/>
    </row>
    <row r="72" spans="1:15" s="32" customFormat="1" x14ac:dyDescent="0.2">
      <c r="A72" s="310" t="s">
        <v>110</v>
      </c>
      <c r="B72" s="309"/>
      <c r="C72" s="30">
        <v>21400</v>
      </c>
      <c r="D72" s="30">
        <v>26532</v>
      </c>
      <c r="E72" s="30">
        <v>3139</v>
      </c>
      <c r="F72" s="351">
        <f t="shared" si="17"/>
        <v>11.83099653248907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51" t="s">
        <v>22</v>
      </c>
      <c r="B73" s="309"/>
      <c r="C73" s="354">
        <f>C74+C75</f>
        <v>0</v>
      </c>
      <c r="D73" s="354">
        <f t="shared" ref="D73:E73" si="19">D74+D75</f>
        <v>58464</v>
      </c>
      <c r="E73" s="354">
        <f t="shared" si="19"/>
        <v>58465</v>
      </c>
      <c r="F73" s="355">
        <f>(E73/D73)*100</f>
        <v>100.00171045429667</v>
      </c>
      <c r="G73" s="258"/>
      <c r="H73" s="258"/>
      <c r="I73" s="258"/>
      <c r="J73" s="193"/>
      <c r="K73" s="255"/>
      <c r="L73" s="53"/>
      <c r="M73" s="53"/>
      <c r="N73" s="54"/>
      <c r="O73" s="53"/>
    </row>
    <row r="74" spans="1:15" s="32" customFormat="1" x14ac:dyDescent="0.2">
      <c r="A74" s="28" t="s">
        <v>109</v>
      </c>
      <c r="B74" s="309"/>
      <c r="C74" s="30">
        <v>0</v>
      </c>
      <c r="D74" s="30">
        <v>57258</v>
      </c>
      <c r="E74" s="30">
        <v>57259</v>
      </c>
      <c r="F74" s="355">
        <f t="shared" ref="F74:F75" si="20">(E74/D74)*100</f>
        <v>100.00174648084111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311" t="s">
        <v>107</v>
      </c>
      <c r="B75" s="312"/>
      <c r="C75" s="352">
        <v>0</v>
      </c>
      <c r="D75" s="352">
        <v>1206</v>
      </c>
      <c r="E75" s="352">
        <v>1206</v>
      </c>
      <c r="F75" s="357">
        <f t="shared" si="20"/>
        <v>100</v>
      </c>
      <c r="G75" s="31"/>
      <c r="H75" s="31"/>
      <c r="I75" s="31"/>
      <c r="J75" s="31"/>
      <c r="K75" s="55"/>
      <c r="L75" s="53"/>
      <c r="M75" s="53"/>
      <c r="N75" s="54"/>
      <c r="O75" s="53"/>
    </row>
    <row r="76" spans="1:15" s="35" customFormat="1" ht="15" x14ac:dyDescent="0.25">
      <c r="A76" s="306" t="s">
        <v>26</v>
      </c>
      <c r="B76" s="307">
        <v>16</v>
      </c>
      <c r="C76" s="353">
        <v>0</v>
      </c>
      <c r="D76" s="353">
        <v>0</v>
      </c>
      <c r="E76" s="353">
        <v>0</v>
      </c>
      <c r="F76" s="350">
        <v>0</v>
      </c>
      <c r="G76" s="27"/>
      <c r="H76" s="31"/>
      <c r="I76" s="31"/>
      <c r="J76" s="31"/>
      <c r="K76" s="67"/>
      <c r="L76" s="77"/>
      <c r="M76" s="77"/>
      <c r="N76" s="44"/>
      <c r="O76" s="77"/>
    </row>
    <row r="77" spans="1:15" s="35" customFormat="1" ht="15" x14ac:dyDescent="0.25">
      <c r="A77" s="313" t="s">
        <v>100</v>
      </c>
      <c r="B77" s="314">
        <v>17</v>
      </c>
      <c r="C77" s="349">
        <f>C78+C79</f>
        <v>622995</v>
      </c>
      <c r="D77" s="349">
        <f t="shared" ref="D77:E77" si="21">D78+D79</f>
        <v>721948</v>
      </c>
      <c r="E77" s="349">
        <f t="shared" si="21"/>
        <v>177946</v>
      </c>
      <c r="F77" s="358">
        <f t="shared" si="17"/>
        <v>24.648035592591157</v>
      </c>
      <c r="G77" s="252"/>
      <c r="H77" s="27"/>
      <c r="I77" s="27"/>
      <c r="J77" s="193"/>
      <c r="K77" s="67"/>
      <c r="L77" s="77"/>
      <c r="M77" s="77"/>
      <c r="N77" s="44"/>
      <c r="O77" s="77"/>
    </row>
    <row r="78" spans="1:15" s="35" customFormat="1" x14ac:dyDescent="0.2">
      <c r="A78" s="28" t="s">
        <v>109</v>
      </c>
      <c r="B78" s="37"/>
      <c r="C78" s="30">
        <v>58839</v>
      </c>
      <c r="D78" s="30">
        <v>90207</v>
      </c>
      <c r="E78" s="30">
        <v>21732</v>
      </c>
      <c r="F78" s="351">
        <f t="shared" si="17"/>
        <v>24.091256776081678</v>
      </c>
      <c r="G78" s="31"/>
      <c r="H78" s="31"/>
      <c r="I78" s="31"/>
      <c r="J78" s="193"/>
      <c r="K78" s="55"/>
      <c r="L78" s="77"/>
      <c r="M78" s="259"/>
      <c r="N78" s="44"/>
      <c r="O78" s="77"/>
    </row>
    <row r="79" spans="1:15" s="35" customFormat="1" x14ac:dyDescent="0.2">
      <c r="A79" s="311" t="s">
        <v>107</v>
      </c>
      <c r="B79" s="315"/>
      <c r="C79" s="352">
        <v>564156</v>
      </c>
      <c r="D79" s="352">
        <v>631741</v>
      </c>
      <c r="E79" s="352">
        <v>156214</v>
      </c>
      <c r="F79" s="305">
        <f t="shared" si="17"/>
        <v>24.72753865903907</v>
      </c>
      <c r="G79" s="31"/>
      <c r="H79" s="31"/>
      <c r="I79" s="31"/>
      <c r="J79" s="193"/>
      <c r="K79" s="55"/>
      <c r="L79" s="77"/>
      <c r="M79" s="260"/>
      <c r="N79" s="44"/>
      <c r="O79" s="77"/>
    </row>
    <row r="80" spans="1:15" s="35" customFormat="1" ht="15" x14ac:dyDescent="0.25">
      <c r="A80" s="316" t="s">
        <v>101</v>
      </c>
      <c r="B80" s="317">
        <v>18</v>
      </c>
      <c r="C80" s="353">
        <f>C81+C82+C83</f>
        <v>87152</v>
      </c>
      <c r="D80" s="353">
        <f>D81+D82+D83</f>
        <v>178137</v>
      </c>
      <c r="E80" s="353">
        <f>E81+E82+E83</f>
        <v>56364</v>
      </c>
      <c r="F80" s="350">
        <f t="shared" si="17"/>
        <v>31.640815776621366</v>
      </c>
      <c r="G80" s="31"/>
      <c r="H80" s="31"/>
      <c r="I80" s="31"/>
      <c r="J80" s="44"/>
      <c r="K80" s="55"/>
      <c r="L80" s="77"/>
      <c r="M80" s="46"/>
      <c r="N80" s="44"/>
      <c r="O80" s="77"/>
    </row>
    <row r="81" spans="1:15" s="35" customFormat="1" x14ac:dyDescent="0.2">
      <c r="A81" s="28" t="s">
        <v>109</v>
      </c>
      <c r="B81" s="37"/>
      <c r="C81" s="30">
        <v>53452</v>
      </c>
      <c r="D81" s="30">
        <v>112469</v>
      </c>
      <c r="E81" s="30">
        <v>50459</v>
      </c>
      <c r="F81" s="351">
        <f>(E81/D81)*100</f>
        <v>44.864807191314945</v>
      </c>
      <c r="G81" s="31"/>
      <c r="H81" s="31"/>
      <c r="I81" s="31"/>
      <c r="J81" s="193"/>
      <c r="K81" s="55"/>
      <c r="L81" s="77"/>
      <c r="M81" s="259"/>
      <c r="N81" s="44"/>
      <c r="O81" s="77"/>
    </row>
    <row r="82" spans="1:15" s="35" customFormat="1" x14ac:dyDescent="0.2">
      <c r="A82" s="28" t="s">
        <v>107</v>
      </c>
      <c r="B82" s="37"/>
      <c r="C82" s="30">
        <v>0</v>
      </c>
      <c r="D82" s="30">
        <v>17363</v>
      </c>
      <c r="E82" s="30">
        <v>332</v>
      </c>
      <c r="F82" s="351">
        <f>(E82/D82)*100</f>
        <v>1.9121119622185108</v>
      </c>
      <c r="G82" s="31"/>
      <c r="H82" s="31"/>
      <c r="I82" s="31"/>
      <c r="J82" s="54"/>
      <c r="K82" s="55"/>
      <c r="L82" s="77"/>
      <c r="M82" s="260"/>
      <c r="N82" s="44"/>
      <c r="O82" s="77"/>
    </row>
    <row r="83" spans="1:15" s="35" customFormat="1" x14ac:dyDescent="0.2">
      <c r="A83" s="318" t="s">
        <v>110</v>
      </c>
      <c r="B83" s="312"/>
      <c r="C83" s="352">
        <v>33700</v>
      </c>
      <c r="D83" s="352">
        <v>48305</v>
      </c>
      <c r="E83" s="352">
        <v>5573</v>
      </c>
      <c r="F83" s="305">
        <f>(E83/D83)*100</f>
        <v>11.537107959838526</v>
      </c>
      <c r="G83" s="31"/>
      <c r="H83" s="31"/>
      <c r="I83" s="31"/>
      <c r="J83" s="31"/>
      <c r="K83" s="55"/>
      <c r="L83" s="77"/>
      <c r="M83" s="46"/>
      <c r="N83" s="44"/>
      <c r="O83" s="77"/>
    </row>
    <row r="84" spans="1:15" s="35" customFormat="1" ht="15" x14ac:dyDescent="0.25">
      <c r="A84" s="319" t="s">
        <v>85</v>
      </c>
      <c r="B84" s="317">
        <v>19</v>
      </c>
      <c r="C84" s="353">
        <f>C85+C88</f>
        <v>3496485</v>
      </c>
      <c r="D84" s="353">
        <f>D85+D88</f>
        <v>3702699</v>
      </c>
      <c r="E84" s="353">
        <f>E85+E88</f>
        <v>1950525</v>
      </c>
      <c r="F84" s="350">
        <f t="shared" si="17"/>
        <v>52.678465087224211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308" t="s">
        <v>21</v>
      </c>
      <c r="B85" s="309"/>
      <c r="C85" s="354">
        <f>C86+C87</f>
        <v>65982</v>
      </c>
      <c r="D85" s="354">
        <f>D86+D87</f>
        <v>65924</v>
      </c>
      <c r="E85" s="354">
        <f>E86+E87</f>
        <v>27037</v>
      </c>
      <c r="F85" s="355">
        <f>(E85/D85)*100</f>
        <v>41.012377889691159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28" t="s">
        <v>109</v>
      </c>
      <c r="B86" s="309"/>
      <c r="C86" s="30">
        <v>65982</v>
      </c>
      <c r="D86" s="30">
        <v>65924</v>
      </c>
      <c r="E86" s="30">
        <v>27037</v>
      </c>
      <c r="F86" s="351">
        <f>(E86/D86)*100</f>
        <v>41.012377889691159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107</v>
      </c>
      <c r="B87" s="309"/>
      <c r="C87" s="30">
        <v>0</v>
      </c>
      <c r="D87" s="30">
        <v>0</v>
      </c>
      <c r="E87" s="30">
        <v>0</v>
      </c>
      <c r="F87" s="351">
        <v>0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51" t="s">
        <v>22</v>
      </c>
      <c r="B88" s="309"/>
      <c r="C88" s="354">
        <f>C89+C90</f>
        <v>3430503</v>
      </c>
      <c r="D88" s="354">
        <f>D89+D90</f>
        <v>3636775</v>
      </c>
      <c r="E88" s="354">
        <f>E89+E90</f>
        <v>1923488</v>
      </c>
      <c r="F88" s="355">
        <f t="shared" si="17"/>
        <v>52.889936825896569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109</v>
      </c>
      <c r="B89" s="309"/>
      <c r="C89" s="30">
        <v>3386834</v>
      </c>
      <c r="D89" s="30">
        <v>3548051</v>
      </c>
      <c r="E89" s="30">
        <v>1914709</v>
      </c>
      <c r="F89" s="351">
        <f t="shared" si="17"/>
        <v>53.965092384523217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107</v>
      </c>
      <c r="B90" s="312"/>
      <c r="C90" s="352">
        <v>43669</v>
      </c>
      <c r="D90" s="352">
        <v>88724</v>
      </c>
      <c r="E90" s="352">
        <v>8779</v>
      </c>
      <c r="F90" s="305">
        <f t="shared" si="17"/>
        <v>9.8947297236373473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ht="15" x14ac:dyDescent="0.25">
      <c r="A91" s="320" t="s">
        <v>91</v>
      </c>
      <c r="B91" s="321">
        <v>20</v>
      </c>
      <c r="C91" s="356">
        <v>570</v>
      </c>
      <c r="D91" s="356">
        <v>580</v>
      </c>
      <c r="E91" s="356">
        <v>106</v>
      </c>
      <c r="F91" s="345">
        <f t="shared" si="17"/>
        <v>18.275862068965516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06" t="s">
        <v>27</v>
      </c>
      <c r="B92" s="307" t="s">
        <v>127</v>
      </c>
      <c r="C92" s="353">
        <f>SUM(C93:C95)</f>
        <v>339787</v>
      </c>
      <c r="D92" s="353">
        <f t="shared" ref="D92:E92" si="22">SUM(D93:D95)</f>
        <v>752688</v>
      </c>
      <c r="E92" s="353">
        <f t="shared" si="22"/>
        <v>478028</v>
      </c>
      <c r="F92" s="350">
        <f t="shared" si="17"/>
        <v>63.509448802159731</v>
      </c>
      <c r="G92" s="27"/>
      <c r="H92" s="27"/>
      <c r="I92" s="27"/>
      <c r="J92" s="193"/>
      <c r="K92" s="67"/>
      <c r="L92" s="77"/>
      <c r="M92" s="77"/>
      <c r="N92" s="44"/>
      <c r="O92" s="77"/>
    </row>
    <row r="93" spans="1:15" s="35" customFormat="1" x14ac:dyDescent="0.2">
      <c r="A93" s="28" t="s">
        <v>109</v>
      </c>
      <c r="B93" s="307"/>
      <c r="C93" s="30">
        <f>28090-C95</f>
        <v>28090</v>
      </c>
      <c r="D93" s="30">
        <f>156848-D95</f>
        <v>156848</v>
      </c>
      <c r="E93" s="30">
        <f>307973-E95</f>
        <v>70814</v>
      </c>
      <c r="F93" s="351">
        <f t="shared" si="17"/>
        <v>45.148168927879226</v>
      </c>
      <c r="G93" s="31"/>
      <c r="H93" s="31"/>
      <c r="I93" s="31"/>
      <c r="J93" s="193"/>
      <c r="K93" s="55"/>
      <c r="L93" s="77"/>
      <c r="M93" s="77"/>
      <c r="N93" s="44"/>
      <c r="O93" s="77"/>
    </row>
    <row r="94" spans="1:15" s="35" customFormat="1" x14ac:dyDescent="0.2">
      <c r="A94" s="28" t="s">
        <v>107</v>
      </c>
      <c r="B94" s="307"/>
      <c r="C94" s="30">
        <v>311697</v>
      </c>
      <c r="D94" s="30">
        <v>595840</v>
      </c>
      <c r="E94" s="30">
        <v>170055</v>
      </c>
      <c r="F94" s="351">
        <f t="shared" si="17"/>
        <v>28.540379967776587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310" t="s">
        <v>108</v>
      </c>
      <c r="B95" s="307"/>
      <c r="C95" s="30">
        <v>0</v>
      </c>
      <c r="D95" s="30">
        <v>0</v>
      </c>
      <c r="E95" s="30">
        <v>237159</v>
      </c>
      <c r="F95" s="305">
        <v>0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ht="15" x14ac:dyDescent="0.25">
      <c r="A96" s="322" t="s">
        <v>44</v>
      </c>
      <c r="B96" s="323">
        <v>99</v>
      </c>
      <c r="C96" s="349">
        <f>+C99+C97+C98</f>
        <v>34000</v>
      </c>
      <c r="D96" s="349">
        <f t="shared" ref="D96:E96" si="23">+D99+D97+D98</f>
        <v>34000</v>
      </c>
      <c r="E96" s="349">
        <f t="shared" si="23"/>
        <v>0</v>
      </c>
      <c r="F96" s="350">
        <f t="shared" si="17"/>
        <v>0</v>
      </c>
      <c r="G96" s="31"/>
      <c r="H96" s="31"/>
      <c r="I96" s="31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109</v>
      </c>
      <c r="B97" s="307"/>
      <c r="C97" s="30">
        <v>0</v>
      </c>
      <c r="D97" s="30">
        <v>0</v>
      </c>
      <c r="E97" s="30">
        <v>0</v>
      </c>
      <c r="F97" s="351">
        <v>0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107</v>
      </c>
      <c r="B98" s="307"/>
      <c r="C98" s="30">
        <v>0</v>
      </c>
      <c r="D98" s="30">
        <v>0</v>
      </c>
      <c r="E98" s="30">
        <v>0</v>
      </c>
      <c r="F98" s="351">
        <v>0</v>
      </c>
      <c r="G98" s="31"/>
      <c r="H98" s="31"/>
      <c r="I98" s="31"/>
      <c r="J98" s="193"/>
      <c r="K98" s="55"/>
      <c r="L98" s="77"/>
      <c r="M98" s="261"/>
      <c r="N98" s="44"/>
      <c r="O98" s="77"/>
    </row>
    <row r="99" spans="1:15" s="35" customFormat="1" x14ac:dyDescent="0.2">
      <c r="A99" s="318" t="s">
        <v>110</v>
      </c>
      <c r="B99" s="321"/>
      <c r="C99" s="352">
        <v>34000</v>
      </c>
      <c r="D99" s="352">
        <v>34000</v>
      </c>
      <c r="E99" s="352">
        <v>0</v>
      </c>
      <c r="F99" s="305">
        <f t="shared" si="17"/>
        <v>0</v>
      </c>
      <c r="G99" s="31"/>
      <c r="H99" s="31"/>
      <c r="I99" s="31"/>
      <c r="J99" s="193"/>
      <c r="K99" s="55"/>
      <c r="L99" s="77"/>
      <c r="M99" s="261"/>
      <c r="N99" s="44"/>
      <c r="O99" s="77"/>
    </row>
    <row r="100" spans="1:15" s="35" customFormat="1" ht="15" x14ac:dyDescent="0.25">
      <c r="A100" s="324" t="s">
        <v>28</v>
      </c>
      <c r="B100" s="307">
        <v>199</v>
      </c>
      <c r="C100" s="353">
        <f>C101</f>
        <v>10529</v>
      </c>
      <c r="D100" s="353">
        <f>D101</f>
        <v>11413</v>
      </c>
      <c r="E100" s="353">
        <f>E101</f>
        <v>4844</v>
      </c>
      <c r="F100" s="350">
        <f t="shared" si="17"/>
        <v>42.442828353631825</v>
      </c>
      <c r="G100" s="31"/>
      <c r="H100" s="31"/>
      <c r="I100" s="31"/>
      <c r="J100" s="193"/>
      <c r="K100" s="67"/>
      <c r="L100" s="43"/>
      <c r="M100" s="77"/>
      <c r="N100" s="44"/>
      <c r="O100" s="77"/>
    </row>
    <row r="101" spans="1:15" s="35" customFormat="1" x14ac:dyDescent="0.2">
      <c r="A101" s="28" t="s">
        <v>109</v>
      </c>
      <c r="B101" s="307"/>
      <c r="C101" s="30">
        <v>10529</v>
      </c>
      <c r="D101" s="30">
        <v>11413</v>
      </c>
      <c r="E101" s="30">
        <v>4844</v>
      </c>
      <c r="F101" s="351">
        <f t="shared" si="17"/>
        <v>42.442828353631825</v>
      </c>
      <c r="G101" s="31"/>
      <c r="H101" s="31"/>
      <c r="I101" s="31"/>
      <c r="J101" s="193"/>
      <c r="K101" s="55"/>
      <c r="L101" s="43"/>
      <c r="M101" s="44"/>
      <c r="N101" s="44"/>
      <c r="O101" s="77"/>
    </row>
    <row r="102" spans="1:15" s="35" customFormat="1" x14ac:dyDescent="0.2">
      <c r="A102" s="28" t="s">
        <v>107</v>
      </c>
      <c r="B102" s="321"/>
      <c r="C102" s="352">
        <v>0</v>
      </c>
      <c r="D102" s="352">
        <v>0</v>
      </c>
      <c r="E102" s="352">
        <v>0</v>
      </c>
      <c r="F102" s="351">
        <v>0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ht="21.75" customHeight="1" x14ac:dyDescent="0.25">
      <c r="A103" s="372" t="s">
        <v>29</v>
      </c>
      <c r="B103" s="373"/>
      <c r="C103" s="85">
        <f>C6+C10+C14+C20+C25+C29+C33+C44+C52+C68+C84+C76+C77+C92+C96+C100+C80+C91+C64+C17</f>
        <v>6200455</v>
      </c>
      <c r="D103" s="85">
        <f>D6+D10+D14+D20+D25+D29+D33+D44+D52+D68+D84+D76+D77+D92+D96+D100+D80+D91+D64+D17</f>
        <v>19010103</v>
      </c>
      <c r="E103" s="85">
        <f>E6+E10+E14+E20+E25+E29+E33+E44+E52+E68+E84+E76+E77+E92+E96+E100+E80+E91+E64+E17</f>
        <v>19952333</v>
      </c>
      <c r="F103" s="345">
        <f t="shared" si="17"/>
        <v>104.95646972559803</v>
      </c>
      <c r="G103" s="125"/>
      <c r="H103" s="88"/>
      <c r="I103" s="88"/>
      <c r="J103" s="88"/>
      <c r="K103" s="111"/>
      <c r="L103" s="43"/>
      <c r="M103" s="78"/>
      <c r="N103" s="79"/>
      <c r="O103" s="78"/>
    </row>
    <row r="104" spans="1:15" ht="21" customHeight="1" x14ac:dyDescent="0.2">
      <c r="A104" s="303" t="s">
        <v>112</v>
      </c>
      <c r="B104" s="304"/>
      <c r="C104" s="30">
        <f>C95+C24+C13+C9</f>
        <v>10527</v>
      </c>
      <c r="D104" s="30">
        <f>D95+D24+D13+D9</f>
        <v>11411</v>
      </c>
      <c r="E104" s="30">
        <f>E95+E24+E13+E9</f>
        <v>10285499</v>
      </c>
      <c r="F104" s="305">
        <f>(E104/D104)*100</f>
        <v>90136.701428446235</v>
      </c>
      <c r="G104" s="31"/>
      <c r="H104" s="87"/>
      <c r="I104" s="87"/>
      <c r="J104" s="87"/>
      <c r="K104" s="68"/>
      <c r="L104" s="43"/>
      <c r="M104" s="78"/>
      <c r="N104" s="79"/>
      <c r="O104" s="78"/>
    </row>
    <row r="105" spans="1:15" ht="32.25" thickBot="1" x14ac:dyDescent="0.3">
      <c r="A105" s="126" t="s">
        <v>30</v>
      </c>
      <c r="B105" s="127"/>
      <c r="C105" s="84">
        <f>C103-C104</f>
        <v>6189928</v>
      </c>
      <c r="D105" s="84">
        <f>D103-D104</f>
        <v>18998692</v>
      </c>
      <c r="E105" s="84">
        <f>E103-E104</f>
        <v>9666834</v>
      </c>
      <c r="F105" s="346">
        <f>(E105/D105)*100</f>
        <v>50.881576479054459</v>
      </c>
      <c r="G105" s="125"/>
      <c r="H105" s="27"/>
      <c r="I105" s="27"/>
      <c r="J105" s="75"/>
      <c r="K105" s="72"/>
      <c r="L105" s="41"/>
      <c r="M105" s="78"/>
      <c r="N105" s="79"/>
      <c r="O105" s="78"/>
    </row>
    <row r="106" spans="1:15" ht="18.75" customHeight="1" thickTop="1" x14ac:dyDescent="0.25">
      <c r="A106" s="368" t="s">
        <v>126</v>
      </c>
      <c r="B106" s="368"/>
      <c r="C106" s="368"/>
      <c r="D106" s="368"/>
      <c r="E106" s="368"/>
      <c r="G106" s="27"/>
      <c r="H106" s="27"/>
      <c r="I106" s="27"/>
      <c r="J106" s="75"/>
      <c r="K106" s="72"/>
      <c r="L106" s="41"/>
      <c r="M106" s="78"/>
      <c r="N106" s="79"/>
      <c r="O106" s="78"/>
    </row>
    <row r="107" spans="1:15" x14ac:dyDescent="0.2">
      <c r="A107" s="368"/>
      <c r="B107" s="368"/>
      <c r="C107" s="368"/>
      <c r="D107" s="368"/>
      <c r="E107" s="368"/>
      <c r="F107" s="57"/>
      <c r="G107" s="57"/>
      <c r="H107" s="57"/>
      <c r="I107" s="57"/>
      <c r="J107" s="52"/>
      <c r="L107" s="56"/>
    </row>
    <row r="108" spans="1:15" x14ac:dyDescent="0.2">
      <c r="J108" s="52"/>
    </row>
    <row r="109" spans="1:15" x14ac:dyDescent="0.2">
      <c r="J109" s="52"/>
    </row>
    <row r="110" spans="1:15" x14ac:dyDescent="0.2">
      <c r="J110" s="52"/>
    </row>
    <row r="111" spans="1:15" ht="15" thickBot="1" x14ac:dyDescent="0.25">
      <c r="A111" s="222" t="s">
        <v>94</v>
      </c>
      <c r="F111" s="297" t="s">
        <v>0</v>
      </c>
      <c r="J111" s="52"/>
    </row>
    <row r="112" spans="1:15" ht="25.5" customHeight="1" thickTop="1" thickBot="1" x14ac:dyDescent="0.25">
      <c r="A112" s="381" t="s">
        <v>92</v>
      </c>
      <c r="B112" s="382"/>
      <c r="C112" s="274" t="s">
        <v>11</v>
      </c>
      <c r="D112" s="274" t="s">
        <v>12</v>
      </c>
      <c r="E112" s="274" t="s">
        <v>4</v>
      </c>
      <c r="F112" s="275" t="s">
        <v>5</v>
      </c>
      <c r="J112" s="52"/>
    </row>
    <row r="113" spans="1:14" ht="15.75" thickTop="1" thickBot="1" x14ac:dyDescent="0.25">
      <c r="A113" s="381">
        <v>1</v>
      </c>
      <c r="B113" s="382"/>
      <c r="C113" s="274">
        <v>2</v>
      </c>
      <c r="D113" s="274">
        <v>3</v>
      </c>
      <c r="E113" s="274">
        <v>4</v>
      </c>
      <c r="F113" s="273" t="s">
        <v>96</v>
      </c>
      <c r="J113" s="52"/>
      <c r="K113" s="17"/>
      <c r="N113" s="17"/>
    </row>
    <row r="114" spans="1:14" ht="15" thickTop="1" x14ac:dyDescent="0.2">
      <c r="A114" s="383" t="s">
        <v>113</v>
      </c>
      <c r="B114" s="384"/>
      <c r="C114" s="301">
        <f>C101+C97+C93+C89+C86+C81+C78+C74+C70+C65+C58+C54+C50+C46+C42+C39+C35+C30+C26+C21+C18+C15+C11+C7+C91+C76</f>
        <v>4420525</v>
      </c>
      <c r="D114" s="301">
        <f>D101+D97+D93+D89+D86+D81+D78+D74+D70+D65+D58+D54+D50+D46+D42+D39+D35+D30+D26+D21+D18+D15+D11+D7+D91+D76</f>
        <v>16365868</v>
      </c>
      <c r="E114" s="301">
        <f>E101+E97+E93+E89+E86+E81+E78+E74+E70+E65+E58+E54+E50+E46+E42+E39+E35+E30+E26+E21+E18+E15+E11+E7+E91+E76</f>
        <v>8725073</v>
      </c>
      <c r="F114" s="302">
        <f>E114/D114*100</f>
        <v>53.312619898926229</v>
      </c>
      <c r="J114" s="52"/>
      <c r="K114" s="17"/>
      <c r="N114" s="17"/>
    </row>
    <row r="115" spans="1:14" x14ac:dyDescent="0.2">
      <c r="A115" s="385" t="s">
        <v>114</v>
      </c>
      <c r="B115" s="386"/>
      <c r="C115" s="241">
        <f>C102+C98+C90+C87+C82+C79+C75+C71+C66+C59+C55+C51+C47+C43+C40+C36+C31+C27+C22+C19+C16+C12+C8+C94</f>
        <v>1093377</v>
      </c>
      <c r="D115" s="241">
        <f>D102+D98+D90+D87+D82+D79+D75+D71+D66+D59+D55+D51+D47+D43+D40+D36+D31+D27+D22+D19+D16+D12+D8+D94</f>
        <v>1878040</v>
      </c>
      <c r="E115" s="241">
        <f>E102+E98+E90+E87+E82+E79+E75+E71+E66+E59+E55+E51+E47+E43+E40+E36+E31+E27+E22+E19+E16+E12+E8+E94</f>
        <v>604690</v>
      </c>
      <c r="F115" s="242">
        <f>E115/D115*100</f>
        <v>32.197929756554707</v>
      </c>
      <c r="J115" s="52"/>
      <c r="K115" s="17"/>
      <c r="N115" s="17"/>
    </row>
    <row r="116" spans="1:14" x14ac:dyDescent="0.2">
      <c r="A116" s="387" t="s">
        <v>110</v>
      </c>
      <c r="B116" s="388"/>
      <c r="C116" s="359">
        <f>C99+C83+C72+C67+C56+C48+C37+C32+C28+C23</f>
        <v>676026</v>
      </c>
      <c r="D116" s="359">
        <f>D99+D83+D72+D67+D56+D48+D37+D32+D28+D23</f>
        <v>754784</v>
      </c>
      <c r="E116" s="359">
        <f>E99+E83+E72+E67+E56+E48+E37+E32+E28+E23</f>
        <v>337071</v>
      </c>
      <c r="F116" s="360">
        <f>E116/D116*100</f>
        <v>44.657941874761519</v>
      </c>
      <c r="J116" s="52"/>
      <c r="K116" s="17"/>
      <c r="N116" s="17"/>
    </row>
    <row r="117" spans="1:14" ht="15" thickBot="1" x14ac:dyDescent="0.25">
      <c r="A117" s="377" t="s">
        <v>112</v>
      </c>
      <c r="B117" s="378"/>
      <c r="C117" s="347">
        <f>C104</f>
        <v>10527</v>
      </c>
      <c r="D117" s="347">
        <f>D104</f>
        <v>11411</v>
      </c>
      <c r="E117" s="347">
        <f>E104</f>
        <v>10285499</v>
      </c>
      <c r="F117" s="348">
        <f>(E117/D117)*100</f>
        <v>90136.701428446235</v>
      </c>
      <c r="J117" s="52"/>
      <c r="K117" s="17"/>
      <c r="N117" s="17"/>
    </row>
    <row r="118" spans="1:14" ht="15" customHeight="1" thickTop="1" x14ac:dyDescent="0.2">
      <c r="A118" s="379" t="s">
        <v>124</v>
      </c>
      <c r="B118" s="380"/>
      <c r="C118" s="341">
        <f>C114+C115+C116+C117</f>
        <v>6200455</v>
      </c>
      <c r="D118" s="341">
        <f t="shared" ref="D118:E118" si="24">D114+D115+D116+D117</f>
        <v>19010103</v>
      </c>
      <c r="E118" s="341">
        <f t="shared" si="24"/>
        <v>19952333</v>
      </c>
      <c r="F118" s="342">
        <f>(E118/D118)*100</f>
        <v>104.95646972559803</v>
      </c>
      <c r="J118" s="52"/>
      <c r="K118" s="17"/>
      <c r="N118" s="17"/>
    </row>
    <row r="119" spans="1:14" x14ac:dyDescent="0.2">
      <c r="A119" s="370" t="s">
        <v>112</v>
      </c>
      <c r="B119" s="371"/>
      <c r="C119" s="343">
        <f>C117</f>
        <v>10527</v>
      </c>
      <c r="D119" s="343">
        <f t="shared" ref="D119" si="25">D117</f>
        <v>11411</v>
      </c>
      <c r="E119" s="343">
        <f>E117</f>
        <v>10285499</v>
      </c>
      <c r="F119" s="344">
        <f>(E119/D119)*100</f>
        <v>90136.701428446235</v>
      </c>
      <c r="H119" s="56"/>
      <c r="I119" s="56"/>
      <c r="J119" s="56"/>
      <c r="K119" s="17"/>
      <c r="N119" s="17"/>
    </row>
    <row r="120" spans="1:14" ht="15.75" thickBot="1" x14ac:dyDescent="0.3">
      <c r="A120" s="338" t="s">
        <v>125</v>
      </c>
      <c r="B120" s="339"/>
      <c r="C120" s="340">
        <f>C118-C119</f>
        <v>6189928</v>
      </c>
      <c r="D120" s="340">
        <f>D118-D119</f>
        <v>18998692</v>
      </c>
      <c r="E120" s="340">
        <f>E118-E119</f>
        <v>9666834</v>
      </c>
      <c r="F120" s="337">
        <f>(E120/D120)*100</f>
        <v>50.881576479054459</v>
      </c>
      <c r="H120" s="89"/>
      <c r="I120" s="89"/>
      <c r="J120" s="89"/>
      <c r="K120" s="17"/>
      <c r="N120" s="17"/>
    </row>
    <row r="121" spans="1:14" ht="15" thickTop="1" x14ac:dyDescent="0.2"/>
  </sheetData>
  <mergeCells count="12">
    <mergeCell ref="A119:B119"/>
    <mergeCell ref="A103:B103"/>
    <mergeCell ref="A1:F1"/>
    <mergeCell ref="A2:F2"/>
    <mergeCell ref="A117:B117"/>
    <mergeCell ref="A118:B118"/>
    <mergeCell ref="A106:E107"/>
    <mergeCell ref="A112:B112"/>
    <mergeCell ref="A113:B113"/>
    <mergeCell ref="A114:B114"/>
    <mergeCell ref="A115:B115"/>
    <mergeCell ref="A116:B11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21. 9. 2020
6.4. - Rozpočet Olomouckého kraje 2020 - plnění rozpočtu k 30. 6. 2020
Příloha č.1 - Plnění rozpočtu Olomouckého kraje k 30. 6. 2020&amp;R&amp;"Arial,Kurzíva"Strana &amp;P (Celkem 6)
</oddFooter>
  </headerFooter>
  <rowBreaks count="1" manualBreakCount="1">
    <brk id="60" max="5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G16" sqref="G16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130</v>
      </c>
      <c r="B1" s="369"/>
      <c r="C1" s="369"/>
      <c r="D1" s="369"/>
      <c r="E1" s="369"/>
    </row>
    <row r="3" spans="1:7" x14ac:dyDescent="0.2">
      <c r="A3" s="367" t="s">
        <v>98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9" t="s">
        <v>89</v>
      </c>
      <c r="B7" s="270" t="s">
        <v>11</v>
      </c>
      <c r="C7" s="271" t="s">
        <v>12</v>
      </c>
      <c r="D7" s="271" t="s">
        <v>4</v>
      </c>
      <c r="E7" s="271" t="s">
        <v>5</v>
      </c>
      <c r="F7" s="13"/>
      <c r="G7" s="13"/>
    </row>
    <row r="8" spans="1:7" ht="14.25" thickTop="1" thickBot="1" x14ac:dyDescent="0.25">
      <c r="A8" s="267">
        <v>1</v>
      </c>
      <c r="B8" s="265">
        <v>2</v>
      </c>
      <c r="C8" s="265">
        <v>3</v>
      </c>
      <c r="D8" s="265">
        <v>4</v>
      </c>
      <c r="E8" s="265" t="s">
        <v>6</v>
      </c>
      <c r="F8" s="13"/>
      <c r="G8" s="13"/>
    </row>
    <row r="9" spans="1:7" ht="15" thickTop="1" x14ac:dyDescent="0.2">
      <c r="A9" s="246" t="s">
        <v>115</v>
      </c>
      <c r="B9" s="247">
        <v>0</v>
      </c>
      <c r="C9" s="248">
        <v>104674</v>
      </c>
      <c r="D9" s="248">
        <v>104674</v>
      </c>
      <c r="E9" s="80">
        <f>(D9/C9)*100</f>
        <v>100</v>
      </c>
      <c r="F9" s="13"/>
      <c r="G9" s="13"/>
    </row>
    <row r="10" spans="1:7" ht="28.5" x14ac:dyDescent="0.2">
      <c r="A10" s="244" t="s">
        <v>116</v>
      </c>
      <c r="B10" s="249">
        <v>440593</v>
      </c>
      <c r="C10" s="245">
        <v>1194298</v>
      </c>
      <c r="D10" s="245">
        <v>-1200069</v>
      </c>
      <c r="E10" s="237">
        <f>(D10/C10)*100</f>
        <v>-100.4832127325006</v>
      </c>
      <c r="F10" s="13"/>
      <c r="G10" s="13"/>
    </row>
    <row r="11" spans="1:7" ht="28.5" hidden="1" x14ac:dyDescent="0.2">
      <c r="A11" s="244" t="s">
        <v>121</v>
      </c>
      <c r="B11" s="249"/>
      <c r="C11" s="245"/>
      <c r="D11" s="245"/>
      <c r="E11" s="237"/>
      <c r="F11" s="13"/>
      <c r="G11" s="13"/>
    </row>
    <row r="12" spans="1:7" ht="28.5" hidden="1" x14ac:dyDescent="0.2">
      <c r="A12" s="244" t="s">
        <v>123</v>
      </c>
      <c r="B12" s="249">
        <v>0</v>
      </c>
      <c r="C12" s="245">
        <v>0</v>
      </c>
      <c r="D12" s="245">
        <v>0</v>
      </c>
      <c r="E12" s="237"/>
      <c r="F12" s="13"/>
      <c r="G12" s="13"/>
    </row>
    <row r="13" spans="1:7" ht="14.25" x14ac:dyDescent="0.2">
      <c r="A13" s="244" t="s">
        <v>122</v>
      </c>
      <c r="B13" s="249">
        <v>0</v>
      </c>
      <c r="C13" s="245">
        <v>9117</v>
      </c>
      <c r="D13" s="245">
        <v>9117</v>
      </c>
      <c r="E13" s="237">
        <f t="shared" ref="E13" si="0">(D13/C13)*100</f>
        <v>100</v>
      </c>
      <c r="F13" s="13"/>
      <c r="G13" s="13"/>
    </row>
    <row r="14" spans="1:7" ht="15" x14ac:dyDescent="0.25">
      <c r="A14" s="223" t="s">
        <v>117</v>
      </c>
      <c r="B14" s="227">
        <v>-346341</v>
      </c>
      <c r="C14" s="232">
        <v>-422883</v>
      </c>
      <c r="D14" s="232">
        <v>-249712</v>
      </c>
      <c r="E14" s="237">
        <f>(D14/C14)*100</f>
        <v>59.049902691761083</v>
      </c>
      <c r="F14" s="27"/>
      <c r="G14" s="13"/>
    </row>
    <row r="15" spans="1:7" ht="15" x14ac:dyDescent="0.25">
      <c r="A15" s="224" t="s">
        <v>118</v>
      </c>
      <c r="B15" s="250">
        <v>0</v>
      </c>
      <c r="C15" s="233">
        <v>0</v>
      </c>
      <c r="D15" s="233">
        <v>-1017</v>
      </c>
      <c r="E15" s="262"/>
      <c r="F15" s="27"/>
      <c r="G15" s="13"/>
    </row>
    <row r="16" spans="1:7" ht="16.5" thickBot="1" x14ac:dyDescent="0.3">
      <c r="A16" s="238" t="s">
        <v>90</v>
      </c>
      <c r="B16" s="239">
        <f>SUM(B9:B15)</f>
        <v>94252</v>
      </c>
      <c r="C16" s="239">
        <f>SUM(C9:C15)</f>
        <v>885206</v>
      </c>
      <c r="D16" s="239">
        <f>SUM(D9:D15)</f>
        <v>-1337007</v>
      </c>
      <c r="E16" s="240">
        <f>(D16/C16)*100</f>
        <v>-151.03908016890983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21. 9. 2020
6.4. - Rozpočet Olomouckého kraje 2020 - plnění rozpočtu k 30. 6. 2020
Příloha č. 1 - Plnění rozpočtu Olomouckého kraje k 30. 6. 2020&amp;R&amp;"Arial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tabSelected="1" view="pageBreakPreview" topLeftCell="A7" zoomScale="110" zoomScaleNormal="100" zoomScaleSheetLayoutView="110" workbookViewId="0">
      <selection activeCell="G16" sqref="G16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2" t="s">
        <v>131</v>
      </c>
      <c r="B1" s="392"/>
      <c r="C1" s="392"/>
      <c r="D1" s="392"/>
      <c r="E1" s="392"/>
      <c r="F1" s="392"/>
      <c r="G1" s="392"/>
      <c r="H1" s="3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3" t="s">
        <v>73</v>
      </c>
      <c r="H4" s="393"/>
    </row>
    <row r="5" spans="1:21" s="93" customFormat="1" ht="14.25" customHeight="1" thickTop="1" thickBot="1" x14ac:dyDescent="0.25">
      <c r="A5" s="276"/>
      <c r="B5" s="277"/>
      <c r="C5" s="277"/>
      <c r="D5" s="278"/>
      <c r="E5" s="265" t="s">
        <v>11</v>
      </c>
      <c r="F5" s="265" t="s">
        <v>12</v>
      </c>
      <c r="G5" s="265" t="s">
        <v>4</v>
      </c>
      <c r="H5" s="268" t="s">
        <v>5</v>
      </c>
    </row>
    <row r="6" spans="1:21" s="93" customFormat="1" ht="14.25" customHeight="1" thickTop="1" thickBot="1" x14ac:dyDescent="0.25">
      <c r="A6" s="389">
        <v>1</v>
      </c>
      <c r="B6" s="390"/>
      <c r="C6" s="390"/>
      <c r="D6" s="391"/>
      <c r="E6" s="279">
        <v>2</v>
      </c>
      <c r="F6" s="279">
        <v>3</v>
      </c>
      <c r="G6" s="279">
        <v>4</v>
      </c>
      <c r="H6" s="280" t="s">
        <v>96</v>
      </c>
    </row>
    <row r="7" spans="1:21" s="96" customFormat="1" ht="19.5" thickTop="1" x14ac:dyDescent="0.4">
      <c r="A7" s="281" t="s">
        <v>38</v>
      </c>
      <c r="B7" s="282"/>
      <c r="C7" s="282"/>
      <c r="D7" s="283"/>
      <c r="E7" s="284">
        <f>Příjmy!B15</f>
        <v>6095676</v>
      </c>
      <c r="F7" s="284">
        <f>Příjmy!C15</f>
        <v>18113486</v>
      </c>
      <c r="G7" s="284">
        <f>Příjmy!D15</f>
        <v>11003841</v>
      </c>
      <c r="H7" s="285">
        <f>(G7/F7)*100</f>
        <v>60.749438291447596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6" t="s">
        <v>39</v>
      </c>
      <c r="B8" s="287"/>
      <c r="C8" s="287"/>
      <c r="D8" s="288"/>
      <c r="E8" s="289">
        <f>Výdaje!C105</f>
        <v>6189928</v>
      </c>
      <c r="F8" s="289">
        <f>Výdaje!D105</f>
        <v>18998692</v>
      </c>
      <c r="G8" s="289">
        <f>Výdaje!E105</f>
        <v>9666834</v>
      </c>
      <c r="H8" s="290">
        <f>(G8/F8)*100</f>
        <v>50.881576479054459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6" t="s">
        <v>89</v>
      </c>
      <c r="B9" s="287"/>
      <c r="C9" s="287"/>
      <c r="D9" s="288"/>
      <c r="E9" s="289">
        <f>Financování!B16</f>
        <v>94252</v>
      </c>
      <c r="F9" s="289">
        <f>Financování!C16</f>
        <v>885206</v>
      </c>
      <c r="G9" s="289">
        <f>Financování!D16</f>
        <v>-1337007</v>
      </c>
      <c r="H9" s="290">
        <f>(G9/F9)*100</f>
        <v>-151.03908016890983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1" t="s">
        <v>93</v>
      </c>
      <c r="B10" s="292"/>
      <c r="C10" s="292"/>
      <c r="D10" s="292"/>
      <c r="E10" s="293"/>
      <c r="F10" s="294"/>
      <c r="G10" s="295">
        <f>G7-G8</f>
        <v>1337007</v>
      </c>
      <c r="H10" s="296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CE,Kurzíva"Zastupitelsvo Olomouckého kraje 21. 9. 2020
6.4. - Rozpočet Olomouckého kraje 2020 - plnění rozpočtu k 30. 6. 2020
Příloha č.1 - Plnění rozpočtu Olomouckého kraje k 30. 6. 2020&amp;R&amp;"Arial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74</v>
      </c>
      <c r="B1" s="394"/>
      <c r="C1" s="394"/>
      <c r="D1" s="394"/>
      <c r="E1" s="394"/>
      <c r="F1" s="394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5"/>
      <c r="B29" s="396"/>
      <c r="C29" s="396"/>
      <c r="D29" s="396"/>
      <c r="E29" s="396"/>
      <c r="F29" s="396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6"/>
      <c r="B30" s="396"/>
      <c r="C30" s="396"/>
      <c r="D30" s="396"/>
      <c r="E30" s="396"/>
      <c r="F30" s="396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7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7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Rekapitulace!E7</f>
        <v>6095676</v>
      </c>
      <c r="C4" s="102">
        <f>Rekapitulace!E8</f>
        <v>6189928</v>
      </c>
    </row>
    <row r="5" spans="1:3" x14ac:dyDescent="0.2">
      <c r="A5" s="102" t="s">
        <v>12</v>
      </c>
      <c r="B5" s="102">
        <f>Rekapitulace!F7</f>
        <v>18113486</v>
      </c>
      <c r="C5" s="102">
        <f>Rekapitulace!F8</f>
        <v>18998692</v>
      </c>
    </row>
    <row r="6" spans="1:3" x14ac:dyDescent="0.2">
      <c r="A6" s="102" t="s">
        <v>4</v>
      </c>
      <c r="B6" s="102">
        <f>Rekapitulace!G7</f>
        <v>11003841</v>
      </c>
      <c r="C6" s="102">
        <f>Rekapitulace!G8</f>
        <v>9666834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12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8">
        <v>1</v>
      </c>
      <c r="B6" s="399"/>
      <c r="C6" s="399"/>
      <c r="D6" s="400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8">
        <v>1</v>
      </c>
      <c r="B40" s="399"/>
      <c r="C40" s="399"/>
      <c r="D40" s="400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2020-07-20T12:59:20Z</cp:lastPrinted>
  <dcterms:created xsi:type="dcterms:W3CDTF">2010-11-26T09:05:32Z</dcterms:created>
  <dcterms:modified xsi:type="dcterms:W3CDTF">2020-09-03T05:12:29Z</dcterms:modified>
</cp:coreProperties>
</file>