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1\Plnění rozpočtu k 31. 3. 2021\ZOK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2'!$A$1:$F$120</definedName>
  </definedNames>
  <calcPr calcId="162913"/>
</workbook>
</file>

<file path=xl/calcChain.xml><?xml version="1.0" encoding="utf-8"?>
<calcChain xmlns="http://schemas.openxmlformats.org/spreadsheetml/2006/main">
  <c r="N51" i="14" l="1"/>
  <c r="N50" i="14"/>
  <c r="N49" i="14"/>
  <c r="N48" i="14"/>
  <c r="N45" i="14"/>
  <c r="N44" i="14"/>
  <c r="I50" i="14"/>
  <c r="I49" i="14"/>
  <c r="I48" i="14"/>
  <c r="I47" i="14"/>
  <c r="I46" i="14"/>
  <c r="I45" i="14"/>
  <c r="I44" i="14"/>
  <c r="I41" i="14"/>
  <c r="I40" i="14"/>
  <c r="I39" i="14"/>
  <c r="I38" i="14"/>
  <c r="I37" i="14"/>
  <c r="I36" i="14"/>
  <c r="I35" i="14"/>
  <c r="D51" i="14"/>
  <c r="D50" i="14"/>
  <c r="D49" i="14"/>
  <c r="D48" i="14"/>
  <c r="D47" i="14"/>
  <c r="D46" i="14"/>
  <c r="D45" i="14"/>
  <c r="D44" i="14"/>
  <c r="D41" i="14"/>
  <c r="D40" i="14"/>
  <c r="D39" i="14"/>
  <c r="D38" i="14"/>
  <c r="D37" i="14"/>
  <c r="D36" i="14"/>
  <c r="D35" i="14"/>
  <c r="O27" i="14"/>
  <c r="O26" i="14"/>
  <c r="O25" i="14"/>
  <c r="O24" i="14"/>
  <c r="O21" i="14"/>
  <c r="O20" i="14"/>
  <c r="J27" i="14"/>
  <c r="J26" i="14"/>
  <c r="J25" i="14"/>
  <c r="J24" i="14"/>
  <c r="J23" i="14"/>
  <c r="J22" i="14"/>
  <c r="J21" i="14"/>
  <c r="J20" i="14"/>
  <c r="E27" i="14"/>
  <c r="E26" i="14"/>
  <c r="E25" i="14"/>
  <c r="E24" i="14"/>
  <c r="E23" i="14"/>
  <c r="E22" i="14"/>
  <c r="E21" i="14"/>
  <c r="E20" i="14"/>
  <c r="O16" i="14"/>
  <c r="O15" i="14"/>
  <c r="O14" i="14"/>
  <c r="O13" i="14"/>
  <c r="O11" i="14"/>
  <c r="O10" i="14"/>
  <c r="O9" i="14"/>
  <c r="O6" i="14"/>
  <c r="J16" i="14"/>
  <c r="J15" i="14"/>
  <c r="J14" i="14"/>
  <c r="J13" i="14"/>
  <c r="J12" i="14"/>
  <c r="J11" i="14"/>
  <c r="J8" i="14"/>
  <c r="J7" i="14"/>
  <c r="J6" i="14"/>
  <c r="E16" i="14"/>
  <c r="E15" i="14"/>
  <c r="E14" i="14"/>
  <c r="E13" i="14"/>
  <c r="E12" i="14"/>
  <c r="E11" i="14"/>
  <c r="E10" i="14"/>
  <c r="E9" i="14"/>
  <c r="E8" i="14"/>
  <c r="E7" i="14"/>
  <c r="E6" i="14"/>
  <c r="N25" i="14" l="1"/>
  <c r="N14" i="14" l="1"/>
  <c r="H40" i="14"/>
  <c r="B50" i="14" l="1"/>
  <c r="M53" i="14"/>
  <c r="L53" i="14"/>
  <c r="N29" i="14"/>
  <c r="M29" i="14"/>
  <c r="L29" i="14"/>
  <c r="B41" i="14" l="1"/>
  <c r="B38" i="14"/>
  <c r="B39" i="14"/>
  <c r="G39" i="14"/>
  <c r="L39" i="14"/>
  <c r="B40" i="14"/>
  <c r="C40" i="14"/>
  <c r="L40" i="14"/>
  <c r="G40" i="14"/>
  <c r="M14" i="14" l="1"/>
  <c r="L14" i="14"/>
  <c r="H14" i="14"/>
  <c r="I14" i="14"/>
  <c r="G14" i="14"/>
  <c r="I15" i="14"/>
  <c r="H15" i="14"/>
  <c r="G15" i="14"/>
  <c r="N15" i="14"/>
  <c r="M15" i="14"/>
  <c r="C38" i="14" l="1"/>
  <c r="M40" i="14"/>
  <c r="N40" i="14" s="1"/>
  <c r="M39" i="14"/>
  <c r="N39" i="14" s="1"/>
  <c r="H39" i="14"/>
  <c r="B44" i="14" l="1"/>
  <c r="L49" i="14"/>
  <c r="L48" i="14"/>
  <c r="G48" i="14"/>
  <c r="G49" i="14" s="1"/>
  <c r="B45" i="14"/>
  <c r="M50" i="14"/>
  <c r="M48" i="14"/>
  <c r="M47" i="14"/>
  <c r="M46" i="14"/>
  <c r="M45" i="14"/>
  <c r="M44" i="14"/>
  <c r="M49" i="14"/>
  <c r="H48" i="14"/>
  <c r="B48" i="14" l="1"/>
  <c r="L38" i="14"/>
  <c r="L36" i="14"/>
  <c r="C50" i="14"/>
  <c r="C49" i="14"/>
  <c r="C48" i="14"/>
  <c r="C47" i="14"/>
  <c r="C46" i="14"/>
  <c r="C45" i="14"/>
  <c r="H46" i="14"/>
  <c r="H47" i="14"/>
  <c r="H49" i="14"/>
  <c r="H45" i="14"/>
  <c r="M38" i="14"/>
  <c r="M36" i="14"/>
  <c r="M35" i="14"/>
  <c r="H38" i="14"/>
  <c r="H37" i="14"/>
  <c r="H36" i="14"/>
  <c r="B36" i="14"/>
  <c r="B35" i="14"/>
  <c r="C37" i="14" l="1"/>
  <c r="C36" i="14"/>
  <c r="N27" i="14"/>
  <c r="M27" i="14"/>
  <c r="L27" i="14"/>
  <c r="I27" i="14"/>
  <c r="H27" i="14"/>
  <c r="G27" i="14"/>
  <c r="C20" i="14"/>
  <c r="B20" i="14"/>
  <c r="M20" i="14"/>
  <c r="N20" i="14"/>
  <c r="L20" i="14"/>
  <c r="M25" i="14"/>
  <c r="N24" i="14"/>
  <c r="D24" i="14" s="1"/>
  <c r="M24" i="14"/>
  <c r="L24" i="14"/>
  <c r="I24" i="14"/>
  <c r="H24" i="14"/>
  <c r="G24" i="14"/>
  <c r="D27" i="14"/>
  <c r="C27" i="14"/>
  <c r="B27" i="14"/>
  <c r="C24" i="14"/>
  <c r="B24" i="14"/>
  <c r="C23" i="14"/>
  <c r="D23" i="14"/>
  <c r="B23" i="14"/>
  <c r="C22" i="14"/>
  <c r="D22" i="14"/>
  <c r="B22" i="14"/>
  <c r="D21" i="14"/>
  <c r="C21" i="14"/>
  <c r="B21" i="14"/>
  <c r="N26" i="14"/>
  <c r="M26" i="14"/>
  <c r="L26" i="14"/>
  <c r="G20" i="14"/>
  <c r="G25" i="14" s="1"/>
  <c r="B25" i="14" s="1"/>
  <c r="N13" i="14" l="1"/>
  <c r="C15" i="14"/>
  <c r="D15" i="14"/>
  <c r="B15" i="14"/>
  <c r="C14" i="14"/>
  <c r="D14" i="14"/>
  <c r="C39" i="14" s="1"/>
  <c r="B14" i="14"/>
  <c r="C13" i="14"/>
  <c r="D13" i="14"/>
  <c r="B13" i="14"/>
  <c r="I6" i="14" l="1"/>
  <c r="H6" i="14"/>
  <c r="H16" i="14" s="1"/>
  <c r="H29" i="14" s="1"/>
  <c r="G6" i="14"/>
  <c r="G16" i="14" s="1"/>
  <c r="G29" i="14" s="1"/>
  <c r="I11" i="14"/>
  <c r="H11" i="14"/>
  <c r="G11" i="14"/>
  <c r="B6" i="14"/>
  <c r="B16" i="14" s="1"/>
  <c r="B29" i="14" s="1"/>
  <c r="C10" i="14"/>
  <c r="D10" i="14"/>
  <c r="B10" i="14"/>
  <c r="C9" i="14"/>
  <c r="C6" i="14" s="1"/>
  <c r="C16" i="14" s="1"/>
  <c r="C29" i="14" s="1"/>
  <c r="D9" i="14"/>
  <c r="B9" i="14"/>
  <c r="I7" i="14"/>
  <c r="H7" i="14"/>
  <c r="G7" i="14"/>
  <c r="N11" i="14"/>
  <c r="M11" i="14"/>
  <c r="L11" i="14"/>
  <c r="D7" i="14"/>
  <c r="C7" i="14"/>
  <c r="B7" i="14"/>
  <c r="D6" i="14" l="1"/>
  <c r="H35" i="14"/>
  <c r="I16" i="14"/>
  <c r="I29" i="14" s="1"/>
  <c r="B47" i="14"/>
  <c r="B37" i="14"/>
  <c r="C44" i="14"/>
  <c r="H26" i="14"/>
  <c r="I26" i="14"/>
  <c r="H50" i="14" s="1"/>
  <c r="I20" i="14"/>
  <c r="G26" i="14"/>
  <c r="M16" i="14"/>
  <c r="L16" i="14"/>
  <c r="D16" i="14" l="1"/>
  <c r="D29" i="14" s="1"/>
  <c r="C35" i="14"/>
  <c r="C41" i="14" s="1"/>
  <c r="C53" i="14" s="1"/>
  <c r="M37" i="14"/>
  <c r="N16" i="14"/>
  <c r="H44" i="14"/>
  <c r="I25" i="14"/>
  <c r="D25" i="14" s="1"/>
  <c r="B49" i="14"/>
  <c r="B46" i="14"/>
  <c r="G41" i="14"/>
  <c r="C51" i="14"/>
  <c r="N36" i="14"/>
  <c r="N38" i="14"/>
  <c r="L51" i="14"/>
  <c r="L41" i="14"/>
  <c r="H51" i="14"/>
  <c r="H20" i="14"/>
  <c r="H25" i="14" l="1"/>
  <c r="C25" i="14" s="1"/>
  <c r="B51" i="14"/>
  <c r="M51" i="14"/>
  <c r="M41" i="14"/>
  <c r="N35" i="14"/>
  <c r="G51" i="14"/>
  <c r="G53" i="14" s="1"/>
  <c r="E115" i="2"/>
  <c r="D115" i="2"/>
  <c r="C115" i="2"/>
  <c r="B53" i="14" l="1"/>
  <c r="I51" i="14"/>
  <c r="N41" i="14"/>
  <c r="H41" i="14"/>
  <c r="H53" i="14" s="1"/>
  <c r="D81" i="2" l="1"/>
  <c r="C81" i="2"/>
  <c r="E93" i="2" l="1"/>
  <c r="D93" i="2"/>
  <c r="C93" i="2"/>
  <c r="E65" i="2"/>
  <c r="D65" i="2"/>
  <c r="C65" i="2"/>
  <c r="D39" i="2" l="1"/>
  <c r="D114" i="2" s="1"/>
  <c r="C39" i="2"/>
  <c r="D30" i="2"/>
  <c r="C30" i="2"/>
  <c r="D26" i="2"/>
  <c r="E26" i="2"/>
  <c r="E114" i="2" s="1"/>
  <c r="C26" i="2"/>
  <c r="C25" i="2"/>
  <c r="E21" i="2"/>
  <c r="D21" i="2"/>
  <c r="C21" i="2"/>
  <c r="E11" i="2"/>
  <c r="D11" i="2"/>
  <c r="C11" i="2"/>
  <c r="E7" i="2"/>
  <c r="D7" i="2"/>
  <c r="C7" i="2"/>
  <c r="F75" i="2" l="1"/>
  <c r="F30" i="2" l="1"/>
  <c r="F37" i="2" l="1"/>
  <c r="C104" i="2" l="1"/>
  <c r="D13" i="1" l="1"/>
  <c r="C13" i="1"/>
  <c r="B13" i="1"/>
  <c r="E10" i="10" l="1"/>
  <c r="E104" i="2" l="1"/>
  <c r="E117" i="2" s="1"/>
  <c r="E119" i="2" s="1"/>
  <c r="D104" i="2"/>
  <c r="D69" i="2"/>
  <c r="E69" i="2"/>
  <c r="C69" i="2"/>
  <c r="D16" i="10" l="1"/>
  <c r="C16" i="10"/>
  <c r="F9" i="3" s="1"/>
  <c r="B16" i="10"/>
  <c r="D53" i="2" l="1"/>
  <c r="E34" i="2" l="1"/>
  <c r="D34" i="2"/>
  <c r="C34" i="2"/>
  <c r="C42" i="2" l="1"/>
  <c r="C114" i="2" s="1"/>
  <c r="E29" i="2" l="1"/>
  <c r="C29" i="2"/>
  <c r="C14" i="2"/>
  <c r="C6" i="2"/>
  <c r="C10" i="2" l="1"/>
  <c r="C117" i="2" l="1"/>
  <c r="C119" i="2" s="1"/>
  <c r="C100" i="2"/>
  <c r="C96" i="2"/>
  <c r="C92" i="2"/>
  <c r="C88" i="2"/>
  <c r="C85" i="2"/>
  <c r="C80" i="2"/>
  <c r="C77" i="2"/>
  <c r="C73" i="2"/>
  <c r="C64" i="2"/>
  <c r="C57" i="2"/>
  <c r="C53" i="2"/>
  <c r="C52" i="2" s="1"/>
  <c r="C49" i="2"/>
  <c r="C45" i="2"/>
  <c r="C41" i="2"/>
  <c r="C38" i="2"/>
  <c r="C20" i="2"/>
  <c r="C17" i="2"/>
  <c r="C84" i="2" l="1"/>
  <c r="C44" i="2"/>
  <c r="C68" i="2"/>
  <c r="C33" i="2"/>
  <c r="C118" i="2"/>
  <c r="C120" i="2" s="1"/>
  <c r="C103" i="2" l="1"/>
  <c r="C105" i="2" s="1"/>
  <c r="D38" i="2"/>
  <c r="E38" i="2"/>
  <c r="D41" i="2"/>
  <c r="E41" i="2"/>
  <c r="E16" i="10" l="1"/>
  <c r="E13" i="10"/>
  <c r="F115" i="2" l="1"/>
  <c r="F116" i="2"/>
  <c r="F83" i="2"/>
  <c r="D20" i="2" l="1"/>
  <c r="E17" i="2"/>
  <c r="D17" i="2"/>
  <c r="F19" i="2"/>
  <c r="F18" i="2"/>
  <c r="F17" i="2" l="1"/>
  <c r="D80" i="2" l="1"/>
  <c r="E80" i="2"/>
  <c r="F82" i="2"/>
  <c r="D77" i="2"/>
  <c r="E77" i="2"/>
  <c r="D64" i="2"/>
  <c r="E64" i="2"/>
  <c r="E53" i="2"/>
  <c r="F67" i="2"/>
  <c r="F65" i="2"/>
  <c r="F74" i="2"/>
  <c r="D73" i="2"/>
  <c r="E73" i="2"/>
  <c r="D57" i="2"/>
  <c r="E57" i="2"/>
  <c r="F50" i="2"/>
  <c r="D49" i="2"/>
  <c r="E49" i="2"/>
  <c r="D45" i="2"/>
  <c r="E45" i="2"/>
  <c r="D29" i="2"/>
  <c r="D25" i="2"/>
  <c r="E25" i="2"/>
  <c r="E20" i="2"/>
  <c r="D14" i="2"/>
  <c r="E14" i="2"/>
  <c r="D10" i="2"/>
  <c r="E10" i="2"/>
  <c r="D6" i="2"/>
  <c r="D52" i="2" l="1"/>
  <c r="E52" i="2"/>
  <c r="F53" i="2"/>
  <c r="F64" i="2"/>
  <c r="F25" i="2"/>
  <c r="D117" i="2"/>
  <c r="F117" i="2" s="1"/>
  <c r="D119" i="2" l="1"/>
  <c r="F119" i="2" s="1"/>
  <c r="E9" i="1"/>
  <c r="F99" i="2" l="1"/>
  <c r="E14" i="10" l="1"/>
  <c r="E9" i="10"/>
  <c r="E14" i="1"/>
  <c r="E12" i="1"/>
  <c r="E11" i="1"/>
  <c r="E10" i="1"/>
  <c r="F12" i="2" l="1"/>
  <c r="D96" i="2" l="1"/>
  <c r="E96" i="2"/>
  <c r="F72" i="2" l="1"/>
  <c r="F56" i="2"/>
  <c r="F48" i="2" l="1"/>
  <c r="F32" i="2" l="1"/>
  <c r="F28" i="2"/>
  <c r="E9" i="3" l="1"/>
  <c r="G9" i="3" l="1"/>
  <c r="H9" i="3" l="1"/>
  <c r="F91" i="2" l="1"/>
  <c r="D33" i="2" l="1"/>
  <c r="F59" i="2" l="1"/>
  <c r="E88" i="2" l="1"/>
  <c r="D88" i="2" l="1"/>
  <c r="F9" i="2"/>
  <c r="F46" i="2" l="1"/>
  <c r="F79" i="2" l="1"/>
  <c r="D44" i="2" l="1"/>
  <c r="E44" i="2" l="1"/>
  <c r="F49" i="2" l="1"/>
  <c r="D15" i="1" l="1"/>
  <c r="G7" i="3" l="1"/>
  <c r="F86" i="2" l="1"/>
  <c r="F90" i="2" l="1"/>
  <c r="F89" i="2" l="1"/>
  <c r="E85" i="2"/>
  <c r="E84" i="2" s="1"/>
  <c r="D85" i="2"/>
  <c r="F85" i="2" l="1"/>
  <c r="D84" i="2"/>
  <c r="F88" i="2"/>
  <c r="C15" i="1" l="1"/>
  <c r="E15" i="1" s="1"/>
  <c r="E13" i="1"/>
  <c r="F84" i="2"/>
  <c r="F7" i="3" l="1"/>
  <c r="H7" i="3" s="1"/>
  <c r="F80" i="2" l="1"/>
  <c r="E33" i="2" l="1"/>
  <c r="F34" i="2"/>
  <c r="F33" i="2" l="1"/>
  <c r="D68" i="2" l="1"/>
  <c r="F81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0" i="2"/>
  <c r="D100" i="2"/>
  <c r="F21" i="2"/>
  <c r="B15" i="1"/>
  <c r="F104" i="2"/>
  <c r="F101" i="2"/>
  <c r="F94" i="2"/>
  <c r="F78" i="2"/>
  <c r="F54" i="2"/>
  <c r="F42" i="2"/>
  <c r="F39" i="2"/>
  <c r="F35" i="2"/>
  <c r="F26" i="2"/>
  <c r="F16" i="2"/>
  <c r="F15" i="2"/>
  <c r="F11" i="2"/>
  <c r="E7" i="3" l="1"/>
  <c r="F70" i="2"/>
  <c r="E68" i="2"/>
  <c r="F96" i="2"/>
  <c r="G7" i="8"/>
  <c r="F38" i="2"/>
  <c r="F57" i="2"/>
  <c r="F100" i="2"/>
  <c r="F77" i="2"/>
  <c r="F29" i="2"/>
  <c r="F20" i="2"/>
  <c r="B6" i="4"/>
  <c r="F41" i="2"/>
  <c r="F52" i="2"/>
  <c r="F73" i="2"/>
  <c r="F44" i="2"/>
  <c r="F69" i="2" l="1"/>
  <c r="B4" i="4"/>
  <c r="E41" i="8"/>
  <c r="E7" i="8"/>
  <c r="F68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3" i="2" s="1"/>
  <c r="D105" i="2" s="1"/>
  <c r="F8" i="3" s="1"/>
  <c r="C5" i="4" s="1"/>
  <c r="F93" i="2"/>
  <c r="E92" i="2"/>
  <c r="D118" i="2" l="1"/>
  <c r="F114" i="2"/>
  <c r="F92" i="2"/>
  <c r="E103" i="2"/>
  <c r="F103" i="2" s="1"/>
  <c r="F6" i="2"/>
  <c r="E118" i="2"/>
  <c r="D120" i="2" l="1"/>
  <c r="F118" i="2"/>
  <c r="E105" i="2"/>
  <c r="G8" i="3" s="1"/>
  <c r="G10" i="3" s="1"/>
  <c r="E120" i="2"/>
  <c r="F120" i="2" l="1"/>
  <c r="F105" i="2"/>
  <c r="H8" i="3"/>
  <c r="C6" i="4"/>
</calcChain>
</file>

<file path=xl/comments1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4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<sst xmlns="http://schemas.openxmlformats.org/spreadsheetml/2006/main" count="365" uniqueCount="159">
  <si>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</si>
  <si>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</si>
  <si>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</si>
  <si>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</si>
  <si>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</si>
  <si>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</si>
  <si>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</si>
  <si>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</si>
  <si>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</si>
  <si>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</si>
  <si>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</si>
  <si>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</si>
  <si>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</si>
  <si>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</si>
  <si>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</si>
  <si>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</si>
  <si>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</si>
  <si>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</si>
  <si>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</si>
  <si>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</si>
  <si>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</si>
  <si>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</si>
  <si>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</si>
  <si>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</si>
  <si>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</si>
  <si>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</si>
  <si>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</si>
  <si>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</si>
  <si>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</si>
  <si>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</si>
  <si>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</si>
  <si>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</si>
  <si>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</si>
  <si>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</si>
  <si>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</si>
  <si>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</si>
  <si>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</si>
  <si>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</si>
  <si>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</si>
  <si>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</si>
  <si>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</si>
  <si>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</si>
  <si>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</si>
  <si>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</si>
  <si>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</si>
  <si>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</si>
  <si>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</si>
  <si>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</si>
  <si>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</si>
  <si>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</si>
  <si>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</si>
  <si>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</si>
  <si>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</si>
  <si>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</si>
  <si>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</si>
  <si>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</si>
  <si>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</si>
  <si>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</si>
  <si>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</si>
  <si>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</si>
  <si>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</si>
  <si>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</si>
  <si>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</si>
  <si>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</si>
  <si>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</si>
  <si>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</si>
  <si>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</si>
  <si>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</si>
  <si>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</si>
  <si>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</si>
  <si>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</si>
  <si>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</si>
  <si>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</si>
  <si>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</si>
  <si>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</si>
  <si>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</si>
  <si>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</si>
  <si>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</si>
  <si>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</si>
  <si>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</si>
  <si>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</si>
  <si>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</si>
  <si>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</si>
  <si>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</si>
  <si>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</si>
  <si>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</si>
  <si>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</si>
  <si>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</si>
  <si>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</si>
  <si>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</si>
  <si>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</si>
  <si>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</si>
  <si>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</si>
  <si>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</si>
  <si>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</si>
  <si>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</si>
  <si>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</si>
  <si>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</si>
  <si>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</si>
  <si>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</si>
  <si>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</si>
  <si>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</si>
  <si>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</si>
  <si>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</si>
  <si>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</si>
  <si>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</si>
  <si>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</si>
  <si>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</si>
  <si>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</si>
  <si>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</si>
  <si>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</si>
  <si>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</si>
  <si>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</si>
  <si>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</si>
  <si>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</si>
  <si>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</si>
  <si>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</si>
  <si>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</si>
  <si>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</si>
  <si>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</si>
  <si>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</si>
  <si>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</si>
  <si>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</si>
  <si>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</si>
  <si>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</si>
  <si>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</si>
  <si>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</si>
  <si>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</si>
  <si>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</si>
  <si>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</si>
  <si>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1. Plnění rozpočtu příjmů Olomouckého kraje k 31. 3. 2021</t>
  </si>
  <si>
    <t>2. Plnění rozpočtu výdajů Olomouckého kraje k 31. 3. 2021</t>
  </si>
  <si>
    <t>Rekapitulace k 31. 3. 2021:</t>
  </si>
  <si>
    <t>3. Financování Olomouckého kraje k 31. 3. 2021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</si>
  <si>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</si>
  <si>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</si>
  <si>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</si>
  <si>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</si>
  <si>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</si>
  <si>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</si>
  <si>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</si>
  <si>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</si>
  <si>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</si>
  <si>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</si>
  <si>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</si>
  <si>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skutečnost 03/2020</t>
  </si>
  <si>
    <t>skutečnost 03/2021</t>
  </si>
  <si>
    <t>z toho: neinvestiční</t>
  </si>
  <si>
    <t xml:space="preserve">            investiční</t>
  </si>
  <si>
    <t>Meziroční srovnání rozpočtu Olomouckého kraje k 31. 3. 2021 a 31.3.2020</t>
  </si>
  <si>
    <t>Bilance Olomouckého kraje k 31. 3. 2021 (bez konsolidace)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</si>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</sst>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6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3" fontId="8" fillId="7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6" xfId="0" applyNumberFormat="1" applyFont="1" applyBorder="1" applyAlignment="1">
      <alignment horizontal="left"/>
    </xf>
    <xf numFmtId="164" fontId="2" fillId="0" borderId="72" xfId="0" applyNumberFormat="1" applyFont="1" applyFill="1" applyBorder="1" applyAlignment="1">
      <alignment horizontal="left"/>
    </xf>
    <xf numFmtId="3" fontId="2" fillId="0" borderId="67" xfId="0" applyNumberFormat="1" applyFont="1" applyFill="1" applyBorder="1" applyAlignment="1">
      <alignment horizontal="left"/>
    </xf>
    <xf numFmtId="3" fontId="2" fillId="0" borderId="61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2" fillId="0" borderId="77" xfId="0" applyNumberFormat="1" applyFont="1" applyFill="1" applyBorder="1" applyAlignment="1">
      <alignment horizontal="left"/>
    </xf>
    <xf numFmtId="3" fontId="2" fillId="0" borderId="63" xfId="0" applyNumberFormat="1" applyFont="1" applyFill="1" applyBorder="1" applyAlignment="1">
      <alignment horizontal="left"/>
    </xf>
    <xf numFmtId="3" fontId="7" fillId="0" borderId="64" xfId="0" applyNumberFormat="1" applyFont="1" applyFill="1" applyBorder="1"/>
    <xf numFmtId="164" fontId="7" fillId="0" borderId="79" xfId="0" applyNumberFormat="1" applyFont="1" applyBorder="1" applyAlignment="1">
      <alignment horizontal="right"/>
    </xf>
    <xf numFmtId="164" fontId="25" fillId="0" borderId="79" xfId="0" applyNumberFormat="1" applyFont="1" applyBorder="1" applyAlignment="1">
      <alignment horizontal="right"/>
    </xf>
    <xf numFmtId="3" fontId="7" fillId="0" borderId="61" xfId="0" applyNumberFormat="1" applyFont="1" applyFill="1" applyBorder="1"/>
    <xf numFmtId="3" fontId="7" fillId="7" borderId="61" xfId="0" applyNumberFormat="1" applyFont="1" applyFill="1" applyBorder="1"/>
    <xf numFmtId="164" fontId="7" fillId="0" borderId="76" xfId="0" applyNumberFormat="1" applyFont="1" applyBorder="1" applyAlignment="1">
      <alignment horizontal="right"/>
    </xf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64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164" fontId="25" fillId="0" borderId="76" xfId="0" applyNumberFormat="1" applyFont="1" applyBorder="1" applyAlignment="1">
      <alignment horizontal="left"/>
    </xf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18072771</c:v>
                </c:pt>
                <c:pt idx="1">
                  <c:v>18557767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6318506</c:v>
                </c:pt>
                <c:pt idx="1">
                  <c:v>5900436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18072771</c:v>
                </c:pt>
                <c:pt idx="1">
                  <c:v>18557767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6318506</c:v>
                </c:pt>
                <c:pt idx="1">
                  <c:v>5900436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18072771</c:v>
                </c:pt>
                <c:pt idx="1">
                  <c:v>18557767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6318506</c:v>
                </c:pt>
                <c:pt idx="1">
                  <c:v>5900436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N52" sqref="N52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9" customWidth="1"/>
    <col min="4" max="4" width="12.7109375" style="169" customWidth="1"/>
    <col min="5" max="5" width="5.8554687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79" t="s">
        <v>150</v>
      </c>
      <c r="B1" s="379"/>
      <c r="C1" s="379"/>
      <c r="D1" s="379"/>
      <c r="E1" s="379"/>
      <c r="F1" s="379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0" t="s">
        <v>135</v>
      </c>
      <c r="C3" s="511"/>
      <c r="D3" s="511"/>
      <c r="E3" s="512"/>
      <c r="F3" s="390"/>
      <c r="G3" s="506" t="s">
        <v>136</v>
      </c>
      <c r="H3" s="507"/>
      <c r="I3" s="507"/>
      <c r="J3" s="508"/>
      <c r="K3" s="390"/>
      <c r="L3" s="503" t="s">
        <v>137</v>
      </c>
      <c r="M3" s="504"/>
      <c r="N3" s="504"/>
      <c r="O3" s="505"/>
    </row>
    <row r="4" spans="1:15" s="377" customFormat="1" ht="20.100000000000001" customHeight="1" x14ac:dyDescent="0.2">
      <c r="A4" s="415" t="s">
        <v>1</v>
      </c>
      <c r="B4" s="411" t="s">
        <v>11</v>
      </c>
      <c r="C4" s="411" t="s">
        <v>12</v>
      </c>
      <c r="D4" s="411" t="s">
        <v>4</v>
      </c>
      <c r="E4" s="412" t="s">
        <v>5</v>
      </c>
      <c r="F4" s="394"/>
      <c r="G4" s="417" t="s">
        <v>11</v>
      </c>
      <c r="H4" s="411" t="s">
        <v>12</v>
      </c>
      <c r="I4" s="411" t="s">
        <v>4</v>
      </c>
      <c r="J4" s="412" t="s">
        <v>5</v>
      </c>
      <c r="K4" s="394"/>
      <c r="L4" s="417" t="s">
        <v>11</v>
      </c>
      <c r="M4" s="411" t="s">
        <v>12</v>
      </c>
      <c r="N4" s="411" t="s">
        <v>4</v>
      </c>
      <c r="O4" s="412" t="s">
        <v>5</v>
      </c>
    </row>
    <row r="5" spans="1:15" s="4" customFormat="1" ht="12" thickBot="1" x14ac:dyDescent="0.25">
      <c r="A5" s="416">
        <v>1</v>
      </c>
      <c r="B5" s="373">
        <v>2</v>
      </c>
      <c r="C5" s="373">
        <v>3</v>
      </c>
      <c r="D5" s="373">
        <v>4</v>
      </c>
      <c r="E5" s="414" t="s">
        <v>96</v>
      </c>
      <c r="F5" s="395"/>
      <c r="G5" s="421">
        <v>6</v>
      </c>
      <c r="H5" s="422">
        <v>7</v>
      </c>
      <c r="I5" s="422">
        <v>8</v>
      </c>
      <c r="J5" s="423" t="s">
        <v>141</v>
      </c>
      <c r="K5" s="395"/>
      <c r="L5" s="425">
        <v>10</v>
      </c>
      <c r="M5" s="373">
        <v>11</v>
      </c>
      <c r="N5" s="373">
        <v>12</v>
      </c>
      <c r="O5" s="414" t="s">
        <v>144</v>
      </c>
    </row>
    <row r="6" spans="1:15" ht="15" thickTop="1" x14ac:dyDescent="0.2">
      <c r="A6" s="413" t="s">
        <v>156</v>
      </c>
      <c r="B6" s="477">
        <f>SUM(B7:B10)</f>
        <v>4997689</v>
      </c>
      <c r="C6" s="477">
        <f t="shared" ref="C6:D6" si="0">SUM(C7:C10)</f>
        <v>4869689</v>
      </c>
      <c r="D6" s="477">
        <f t="shared" si="0"/>
        <v>1252231</v>
      </c>
      <c r="E6" s="478">
        <f t="shared" ref="E6:E16" si="1">(D6/C6)*100</f>
        <v>25.714804374570942</v>
      </c>
      <c r="F6" s="396"/>
      <c r="G6" s="424">
        <f>G7+G8</f>
        <v>4963689</v>
      </c>
      <c r="H6" s="358">
        <f>H7+H8</f>
        <v>4835689</v>
      </c>
      <c r="I6" s="358">
        <f>I7+I8</f>
        <v>1250968</v>
      </c>
      <c r="J6" s="402">
        <f>(I6/H6)*100</f>
        <v>25.869488298358313</v>
      </c>
      <c r="K6" s="426"/>
      <c r="L6" s="424">
        <v>34000</v>
      </c>
      <c r="M6" s="358">
        <v>34000</v>
      </c>
      <c r="N6" s="358">
        <v>1263</v>
      </c>
      <c r="O6" s="402">
        <f>(N6/M6)*100</f>
        <v>3.7147058823529413</v>
      </c>
    </row>
    <row r="7" spans="1:15" ht="14.25" x14ac:dyDescent="0.2">
      <c r="A7" s="486" t="s">
        <v>127</v>
      </c>
      <c r="B7" s="487">
        <f>1350341+20255+128283+796701+2666924</f>
        <v>4962504</v>
      </c>
      <c r="C7" s="487">
        <f>864534+27000+135000+857470+2950500</f>
        <v>4834504</v>
      </c>
      <c r="D7" s="488">
        <f>273458+14554+33521+278281+650937</f>
        <v>1250751</v>
      </c>
      <c r="E7" s="479">
        <f t="shared" si="1"/>
        <v>25.871340679416132</v>
      </c>
      <c r="F7" s="396"/>
      <c r="G7" s="487">
        <f>1350341+20255+128283+796701+2666924</f>
        <v>4962504</v>
      </c>
      <c r="H7" s="487">
        <f>864534+27000+135000+857470+2950500</f>
        <v>4834504</v>
      </c>
      <c r="I7" s="488">
        <f>273458+14554+33521+278281+650937</f>
        <v>1250751</v>
      </c>
      <c r="J7" s="479">
        <f>(I7/H7)*100</f>
        <v>25.871340679416132</v>
      </c>
      <c r="K7" s="426"/>
      <c r="L7" s="487">
        <v>0</v>
      </c>
      <c r="M7" s="487">
        <v>0</v>
      </c>
      <c r="N7" s="488">
        <v>0</v>
      </c>
      <c r="O7" s="479">
        <v>0</v>
      </c>
    </row>
    <row r="8" spans="1:15" ht="14.25" x14ac:dyDescent="0.2">
      <c r="A8" s="486" t="s">
        <v>128</v>
      </c>
      <c r="B8" s="487">
        <v>1185</v>
      </c>
      <c r="C8" s="487">
        <v>1185</v>
      </c>
      <c r="D8" s="488">
        <v>217</v>
      </c>
      <c r="E8" s="479">
        <f t="shared" si="1"/>
        <v>18.312236286919831</v>
      </c>
      <c r="F8" s="396"/>
      <c r="G8" s="487">
        <v>1185</v>
      </c>
      <c r="H8" s="487">
        <v>1185</v>
      </c>
      <c r="I8" s="488">
        <v>217</v>
      </c>
      <c r="J8" s="479">
        <f>(I8/H8)*100</f>
        <v>18.312236286919831</v>
      </c>
      <c r="K8" s="426"/>
      <c r="L8" s="487">
        <v>0</v>
      </c>
      <c r="M8" s="487">
        <v>0</v>
      </c>
      <c r="N8" s="488">
        <v>0</v>
      </c>
      <c r="O8" s="479">
        <v>0</v>
      </c>
    </row>
    <row r="9" spans="1:15" ht="14.25" x14ac:dyDescent="0.2">
      <c r="A9" s="489" t="s">
        <v>152</v>
      </c>
      <c r="B9" s="487">
        <f>L9</f>
        <v>4000</v>
      </c>
      <c r="C9" s="487">
        <f t="shared" ref="C9:D10" si="2">M9</f>
        <v>4000</v>
      </c>
      <c r="D9" s="487">
        <f t="shared" si="2"/>
        <v>1197</v>
      </c>
      <c r="E9" s="479">
        <f t="shared" si="1"/>
        <v>29.925000000000001</v>
      </c>
      <c r="F9" s="396"/>
      <c r="G9" s="487">
        <v>0</v>
      </c>
      <c r="H9" s="487">
        <v>0</v>
      </c>
      <c r="I9" s="488">
        <v>0</v>
      </c>
      <c r="J9" s="479">
        <v>0</v>
      </c>
      <c r="K9" s="426"/>
      <c r="L9" s="487">
        <v>4000</v>
      </c>
      <c r="M9" s="487">
        <v>4000</v>
      </c>
      <c r="N9" s="488">
        <v>1197</v>
      </c>
      <c r="O9" s="479">
        <f>(N9/M9)*100</f>
        <v>29.925000000000001</v>
      </c>
    </row>
    <row r="10" spans="1:15" ht="14.25" x14ac:dyDescent="0.2">
      <c r="A10" s="490" t="s">
        <v>153</v>
      </c>
      <c r="B10" s="487">
        <f>L10</f>
        <v>30000</v>
      </c>
      <c r="C10" s="487">
        <f t="shared" si="2"/>
        <v>30000</v>
      </c>
      <c r="D10" s="487">
        <f t="shared" si="2"/>
        <v>66</v>
      </c>
      <c r="E10" s="479">
        <f t="shared" si="1"/>
        <v>0.22</v>
      </c>
      <c r="F10" s="396"/>
      <c r="G10" s="487">
        <v>0</v>
      </c>
      <c r="H10" s="487">
        <v>0</v>
      </c>
      <c r="I10" s="488">
        <v>0</v>
      </c>
      <c r="J10" s="479">
        <v>0</v>
      </c>
      <c r="K10" s="426"/>
      <c r="L10" s="487">
        <v>30000</v>
      </c>
      <c r="M10" s="487">
        <v>30000</v>
      </c>
      <c r="N10" s="488">
        <v>66</v>
      </c>
      <c r="O10" s="479">
        <f>(N10/M10)*100</f>
        <v>0.22</v>
      </c>
    </row>
    <row r="11" spans="1:15" ht="14.25" x14ac:dyDescent="0.2">
      <c r="A11" s="413" t="s">
        <v>157</v>
      </c>
      <c r="B11" s="480">
        <v>489242</v>
      </c>
      <c r="C11" s="481">
        <v>543849</v>
      </c>
      <c r="D11" s="481">
        <v>232276</v>
      </c>
      <c r="E11" s="482">
        <f t="shared" si="1"/>
        <v>42.70964918571147</v>
      </c>
      <c r="F11" s="396"/>
      <c r="G11" s="418">
        <f>B11-L11</f>
        <v>488938</v>
      </c>
      <c r="H11" s="361">
        <f>C11-M11</f>
        <v>527478</v>
      </c>
      <c r="I11" s="361">
        <f>D11-N11</f>
        <v>216180</v>
      </c>
      <c r="J11" s="493">
        <f t="shared" ref="J11:J16" si="3">(I11/H11)*100</f>
        <v>40.983699794114635</v>
      </c>
      <c r="K11" s="426"/>
      <c r="L11" s="418">
        <f>4+300</f>
        <v>304</v>
      </c>
      <c r="M11" s="361">
        <f>4+300+16067</f>
        <v>16371</v>
      </c>
      <c r="N11" s="361">
        <f>23+6+16067</f>
        <v>16096</v>
      </c>
      <c r="O11" s="404">
        <f>(N11/M11)*100</f>
        <v>98.320200354285021</v>
      </c>
    </row>
    <row r="12" spans="1:15" ht="14.25" x14ac:dyDescent="0.2">
      <c r="A12" s="403" t="s">
        <v>104</v>
      </c>
      <c r="B12" s="480">
        <v>8355</v>
      </c>
      <c r="C12" s="481">
        <v>8355</v>
      </c>
      <c r="D12" s="481">
        <v>48</v>
      </c>
      <c r="E12" s="482">
        <f t="shared" si="1"/>
        <v>0.57450628366247758</v>
      </c>
      <c r="F12" s="396"/>
      <c r="G12" s="418">
        <v>8355</v>
      </c>
      <c r="H12" s="361">
        <v>8355</v>
      </c>
      <c r="I12" s="361">
        <v>48</v>
      </c>
      <c r="J12" s="493">
        <f t="shared" si="3"/>
        <v>0.57450628366247758</v>
      </c>
      <c r="K12" s="426"/>
      <c r="L12" s="418">
        <v>0</v>
      </c>
      <c r="M12" s="361">
        <v>0</v>
      </c>
      <c r="N12" s="361">
        <v>0</v>
      </c>
      <c r="O12" s="404">
        <v>0</v>
      </c>
    </row>
    <row r="13" spans="1:15" ht="14.25" x14ac:dyDescent="0.2">
      <c r="A13" s="403" t="s">
        <v>158</v>
      </c>
      <c r="B13" s="480">
        <f>G13+L13</f>
        <v>361106</v>
      </c>
      <c r="C13" s="480">
        <f t="shared" ref="C13:D15" si="4">H13+M13</f>
        <v>12650878</v>
      </c>
      <c r="D13" s="480">
        <f t="shared" si="4"/>
        <v>4833951</v>
      </c>
      <c r="E13" s="482">
        <f t="shared" si="1"/>
        <v>38.210399309834465</v>
      </c>
      <c r="F13" s="396"/>
      <c r="G13" s="418">
        <v>361106</v>
      </c>
      <c r="H13" s="361">
        <v>488226</v>
      </c>
      <c r="I13" s="361">
        <v>205266</v>
      </c>
      <c r="J13" s="493">
        <f t="shared" si="3"/>
        <v>42.043234076022166</v>
      </c>
      <c r="K13" s="426"/>
      <c r="L13" s="418">
        <v>0</v>
      </c>
      <c r="M13" s="361">
        <v>12162652</v>
      </c>
      <c r="N13" s="361">
        <f>4627740+945</f>
        <v>4628685</v>
      </c>
      <c r="O13" s="404">
        <f>(N13/M13)*100</f>
        <v>38.056543918217834</v>
      </c>
    </row>
    <row r="14" spans="1:15" s="474" customFormat="1" ht="14.25" x14ac:dyDescent="0.2">
      <c r="A14" s="381" t="s">
        <v>147</v>
      </c>
      <c r="B14" s="487">
        <f>G14+L14</f>
        <v>122749</v>
      </c>
      <c r="C14" s="487">
        <f t="shared" si="4"/>
        <v>12260988</v>
      </c>
      <c r="D14" s="487">
        <f t="shared" si="4"/>
        <v>4634933</v>
      </c>
      <c r="E14" s="491">
        <f t="shared" si="1"/>
        <v>37.802279881523418</v>
      </c>
      <c r="F14" s="470"/>
      <c r="G14" s="494">
        <f>G13-G15</f>
        <v>122749</v>
      </c>
      <c r="H14" s="495">
        <f t="shared" ref="H14:I14" si="5">H13-H15</f>
        <v>133074</v>
      </c>
      <c r="I14" s="495">
        <f t="shared" si="5"/>
        <v>40986</v>
      </c>
      <c r="J14" s="496">
        <f t="shared" si="3"/>
        <v>30.799404842418504</v>
      </c>
      <c r="K14" s="473"/>
      <c r="L14" s="471">
        <f>L13-L15</f>
        <v>0</v>
      </c>
      <c r="M14" s="472">
        <f t="shared" ref="M14" si="6">M13-M15</f>
        <v>12127914</v>
      </c>
      <c r="N14" s="472">
        <f>N13-N15</f>
        <v>4593947</v>
      </c>
      <c r="O14" s="469">
        <f>(N14/M14)*100</f>
        <v>37.879119195601156</v>
      </c>
    </row>
    <row r="15" spans="1:15" s="474" customFormat="1" ht="15" thickBot="1" x14ac:dyDescent="0.25">
      <c r="A15" s="409" t="s">
        <v>148</v>
      </c>
      <c r="B15" s="487">
        <f>G15+L15</f>
        <v>238357</v>
      </c>
      <c r="C15" s="487">
        <f t="shared" si="4"/>
        <v>389890</v>
      </c>
      <c r="D15" s="487">
        <f t="shared" si="4"/>
        <v>199018</v>
      </c>
      <c r="E15" s="491">
        <f t="shared" si="1"/>
        <v>51.044653620251864</v>
      </c>
      <c r="F15" s="470"/>
      <c r="G15" s="497">
        <f>8560+2051+201604+26142</f>
        <v>238357</v>
      </c>
      <c r="H15" s="498">
        <f>743+14985+2051+311231+26142</f>
        <v>355152</v>
      </c>
      <c r="I15" s="498">
        <f>743+7952+135585+20000</f>
        <v>164280</v>
      </c>
      <c r="J15" s="496">
        <f t="shared" si="3"/>
        <v>46.256250844708745</v>
      </c>
      <c r="K15" s="473"/>
      <c r="L15" s="475">
        <v>0</v>
      </c>
      <c r="M15" s="476">
        <f>32741+1997</f>
        <v>34738</v>
      </c>
      <c r="N15" s="476">
        <f>32741+1997</f>
        <v>34738</v>
      </c>
      <c r="O15" s="469">
        <f>(N15/M15)*100</f>
        <v>100</v>
      </c>
    </row>
    <row r="16" spans="1:15" ht="18.95" customHeight="1" thickTop="1" thickBot="1" x14ac:dyDescent="0.3">
      <c r="A16" s="483" t="s">
        <v>8</v>
      </c>
      <c r="B16" s="484">
        <f>B6+B11+B12+B13</f>
        <v>5856392</v>
      </c>
      <c r="C16" s="484">
        <f>C6+C11+C12+C13</f>
        <v>18072771</v>
      </c>
      <c r="D16" s="484">
        <f>D6+D11+D12+D13</f>
        <v>6318506</v>
      </c>
      <c r="E16" s="485">
        <f t="shared" si="1"/>
        <v>34.961467724014213</v>
      </c>
      <c r="F16" s="397"/>
      <c r="G16" s="386">
        <f>G6+G11+G12+G13</f>
        <v>5822088</v>
      </c>
      <c r="H16" s="386">
        <f>H6+H11+H12+H13</f>
        <v>5859748</v>
      </c>
      <c r="I16" s="386">
        <f>I6+I11+I12+I13</f>
        <v>1672462</v>
      </c>
      <c r="J16" s="388">
        <f t="shared" si="3"/>
        <v>28.541534550632552</v>
      </c>
      <c r="K16" s="397"/>
      <c r="L16" s="389">
        <f>L6+L11+L12+L13</f>
        <v>34304</v>
      </c>
      <c r="M16" s="389">
        <f t="shared" ref="M16:N16" si="7">M6+M11+M12+M13</f>
        <v>12213023</v>
      </c>
      <c r="N16" s="389">
        <f t="shared" si="7"/>
        <v>4646044</v>
      </c>
      <c r="O16" s="388">
        <f>(N16/M16)*100</f>
        <v>38.041719891954678</v>
      </c>
    </row>
    <row r="17" spans="1:15" ht="13.5" thickBot="1" x14ac:dyDescent="0.25">
      <c r="A17" s="432"/>
      <c r="B17" s="432"/>
      <c r="C17" s="433"/>
      <c r="D17" s="433"/>
      <c r="E17" s="432"/>
      <c r="F17" s="400"/>
      <c r="G17" s="420"/>
      <c r="H17" s="420"/>
      <c r="I17" s="420"/>
      <c r="J17" s="420"/>
      <c r="K17" s="13"/>
      <c r="L17" s="420"/>
      <c r="M17" s="420"/>
      <c r="N17" s="420"/>
      <c r="O17" s="420"/>
    </row>
    <row r="18" spans="1:15" ht="20.100000000000001" customHeight="1" x14ac:dyDescent="0.2">
      <c r="A18" s="415" t="s">
        <v>92</v>
      </c>
      <c r="B18" s="429" t="s">
        <v>11</v>
      </c>
      <c r="C18" s="429" t="s">
        <v>12</v>
      </c>
      <c r="D18" s="429" t="s">
        <v>4</v>
      </c>
      <c r="E18" s="430" t="s">
        <v>5</v>
      </c>
      <c r="F18" s="398"/>
      <c r="G18" s="431" t="s">
        <v>11</v>
      </c>
      <c r="H18" s="429" t="s">
        <v>12</v>
      </c>
      <c r="I18" s="429" t="s">
        <v>4</v>
      </c>
      <c r="J18" s="430" t="s">
        <v>5</v>
      </c>
      <c r="K18" s="398"/>
      <c r="L18" s="431" t="s">
        <v>11</v>
      </c>
      <c r="M18" s="429" t="s">
        <v>12</v>
      </c>
      <c r="N18" s="429" t="s">
        <v>4</v>
      </c>
      <c r="O18" s="430" t="s">
        <v>5</v>
      </c>
    </row>
    <row r="19" spans="1:15" ht="13.5" thickBot="1" x14ac:dyDescent="0.25">
      <c r="A19" s="416">
        <v>1</v>
      </c>
      <c r="B19" s="373">
        <v>2</v>
      </c>
      <c r="C19" s="373">
        <v>3</v>
      </c>
      <c r="D19" s="373">
        <v>4</v>
      </c>
      <c r="E19" s="414" t="s">
        <v>96</v>
      </c>
      <c r="F19" s="399"/>
      <c r="G19" s="425">
        <v>6</v>
      </c>
      <c r="H19" s="373">
        <v>7</v>
      </c>
      <c r="I19" s="373">
        <v>8</v>
      </c>
      <c r="J19" s="414" t="s">
        <v>141</v>
      </c>
      <c r="K19" s="399"/>
      <c r="L19" s="425">
        <v>10</v>
      </c>
      <c r="M19" s="373">
        <v>11</v>
      </c>
      <c r="N19" s="373">
        <v>12</v>
      </c>
      <c r="O19" s="414" t="s">
        <v>144</v>
      </c>
    </row>
    <row r="20" spans="1:15" s="378" customFormat="1" ht="15.75" thickTop="1" x14ac:dyDescent="0.25">
      <c r="A20" s="462" t="s">
        <v>113</v>
      </c>
      <c r="B20" s="374">
        <f>4808116</f>
        <v>4808116</v>
      </c>
      <c r="C20" s="374">
        <f>17120328</f>
        <v>17120328</v>
      </c>
      <c r="D20" s="374">
        <v>5783756</v>
      </c>
      <c r="E20" s="410">
        <f t="shared" ref="E20:E27" si="8">(D20/C20)*100</f>
        <v>33.782974251427895</v>
      </c>
      <c r="F20" s="397"/>
      <c r="G20" s="374">
        <f>B20-L20</f>
        <v>4797054</v>
      </c>
      <c r="H20" s="374">
        <f>C20-M20</f>
        <v>4899051</v>
      </c>
      <c r="I20" s="374">
        <f>D20-N20</f>
        <v>1268021</v>
      </c>
      <c r="J20" s="410">
        <f t="shared" ref="J20:J27" si="9">(I20/H20)*100</f>
        <v>25.882992440780878</v>
      </c>
      <c r="K20" s="397"/>
      <c r="L20" s="449">
        <f>SUM(L21:L25)</f>
        <v>11062</v>
      </c>
      <c r="M20" s="374">
        <f t="shared" ref="M20:N20" si="10">SUM(M21:M25)</f>
        <v>12221277</v>
      </c>
      <c r="N20" s="374">
        <f t="shared" si="10"/>
        <v>4515735</v>
      </c>
      <c r="O20" s="410">
        <f>(N20/M20)*100</f>
        <v>36.949780288917431</v>
      </c>
    </row>
    <row r="21" spans="1:15" ht="14.25" x14ac:dyDescent="0.2">
      <c r="A21" s="381" t="s">
        <v>142</v>
      </c>
      <c r="B21" s="487">
        <f>G21+L21</f>
        <v>383819</v>
      </c>
      <c r="C21" s="487">
        <f>H21+M21</f>
        <v>367105</v>
      </c>
      <c r="D21" s="487">
        <f>I21+N21</f>
        <v>53531</v>
      </c>
      <c r="E21" s="427">
        <f t="shared" si="8"/>
        <v>14.581931599950968</v>
      </c>
      <c r="F21" s="392"/>
      <c r="G21" s="492">
        <v>372757</v>
      </c>
      <c r="H21" s="487">
        <v>356043</v>
      </c>
      <c r="I21" s="487">
        <v>50850</v>
      </c>
      <c r="J21" s="428">
        <f t="shared" si="9"/>
        <v>14.281982794213057</v>
      </c>
      <c r="K21" s="408"/>
      <c r="L21" s="492">
        <v>11062</v>
      </c>
      <c r="M21" s="487">
        <v>11062</v>
      </c>
      <c r="N21" s="487">
        <v>2681</v>
      </c>
      <c r="O21" s="428">
        <f>(N21/M21)*100</f>
        <v>24.236123666606399</v>
      </c>
    </row>
    <row r="22" spans="1:15" ht="14.25" x14ac:dyDescent="0.2">
      <c r="A22" s="381" t="s">
        <v>129</v>
      </c>
      <c r="B22" s="487">
        <f>G22+L22</f>
        <v>1993026</v>
      </c>
      <c r="C22" s="487">
        <f t="shared" ref="C22:D25" si="11">H22+M22</f>
        <v>1986647</v>
      </c>
      <c r="D22" s="487">
        <f t="shared" si="11"/>
        <v>605669</v>
      </c>
      <c r="E22" s="427">
        <f t="shared" si="8"/>
        <v>30.486996431676083</v>
      </c>
      <c r="F22" s="392"/>
      <c r="G22" s="492">
        <v>1993026</v>
      </c>
      <c r="H22" s="487">
        <v>1986647</v>
      </c>
      <c r="I22" s="487">
        <v>605669</v>
      </c>
      <c r="J22" s="428">
        <f t="shared" si="9"/>
        <v>30.486996431676083</v>
      </c>
      <c r="K22" s="408"/>
      <c r="L22" s="492">
        <v>0</v>
      </c>
      <c r="M22" s="487">
        <v>0</v>
      </c>
      <c r="N22" s="487">
        <v>0</v>
      </c>
      <c r="O22" s="428">
        <v>0</v>
      </c>
    </row>
    <row r="23" spans="1:15" ht="14.25" customHeight="1" x14ac:dyDescent="0.2">
      <c r="A23" s="382" t="s">
        <v>143</v>
      </c>
      <c r="B23" s="487">
        <f>G23+L23</f>
        <v>1462292</v>
      </c>
      <c r="C23" s="487">
        <f t="shared" si="11"/>
        <v>1497933</v>
      </c>
      <c r="D23" s="487">
        <f t="shared" si="11"/>
        <v>463252</v>
      </c>
      <c r="E23" s="427">
        <f t="shared" si="8"/>
        <v>30.92608280877716</v>
      </c>
      <c r="F23" s="392"/>
      <c r="G23" s="492">
        <v>1462292</v>
      </c>
      <c r="H23" s="487">
        <v>1497933</v>
      </c>
      <c r="I23" s="487">
        <v>463252</v>
      </c>
      <c r="J23" s="428">
        <f t="shared" si="9"/>
        <v>30.92608280877716</v>
      </c>
      <c r="K23" s="407"/>
      <c r="L23" s="492">
        <v>0</v>
      </c>
      <c r="M23" s="487">
        <v>0</v>
      </c>
      <c r="N23" s="487">
        <v>0</v>
      </c>
      <c r="O23" s="428">
        <v>0</v>
      </c>
    </row>
    <row r="24" spans="1:15" ht="14.25" x14ac:dyDescent="0.2">
      <c r="A24" s="381" t="s">
        <v>154</v>
      </c>
      <c r="B24" s="487">
        <f>G24+L24</f>
        <v>394375</v>
      </c>
      <c r="C24" s="487">
        <f t="shared" si="11"/>
        <v>402178</v>
      </c>
      <c r="D24" s="487">
        <f t="shared" si="11"/>
        <v>61422</v>
      </c>
      <c r="E24" s="427">
        <f t="shared" si="8"/>
        <v>15.272342097280308</v>
      </c>
      <c r="F24" s="392"/>
      <c r="G24" s="492">
        <f>391080+801+2494</f>
        <v>394375</v>
      </c>
      <c r="H24" s="487">
        <f>391683+1951</f>
        <v>393634</v>
      </c>
      <c r="I24" s="487">
        <f>59334+89+432</f>
        <v>59855</v>
      </c>
      <c r="J24" s="428">
        <f t="shared" si="9"/>
        <v>15.205749503345748</v>
      </c>
      <c r="K24" s="407"/>
      <c r="L24" s="492">
        <f>3295-801-2494</f>
        <v>0</v>
      </c>
      <c r="M24" s="487">
        <f>11239-744-1951</f>
        <v>8544</v>
      </c>
      <c r="N24" s="487">
        <f>2088-89-432</f>
        <v>1567</v>
      </c>
      <c r="O24" s="428">
        <f>(N24/M24)*100</f>
        <v>18.340355805243448</v>
      </c>
    </row>
    <row r="25" spans="1:15" ht="14.25" x14ac:dyDescent="0.2">
      <c r="A25" s="381" t="s">
        <v>155</v>
      </c>
      <c r="B25" s="487">
        <f>G25+L25</f>
        <v>574604</v>
      </c>
      <c r="C25" s="487">
        <f t="shared" si="11"/>
        <v>12866465</v>
      </c>
      <c r="D25" s="487">
        <f t="shared" si="11"/>
        <v>4599882</v>
      </c>
      <c r="E25" s="427">
        <f t="shared" si="8"/>
        <v>35.750938583363805</v>
      </c>
      <c r="F25" s="392"/>
      <c r="G25" s="487">
        <f>G20-G21-G22-G23-G24</f>
        <v>574604</v>
      </c>
      <c r="H25" s="487">
        <f>H20-H21-H22-H23-H24</f>
        <v>664794</v>
      </c>
      <c r="I25" s="487">
        <f>I20-I21-I22-I23-I24</f>
        <v>88395</v>
      </c>
      <c r="J25" s="428">
        <f t="shared" si="9"/>
        <v>13.296600149820847</v>
      </c>
      <c r="K25" s="407"/>
      <c r="L25" s="492">
        <v>0</v>
      </c>
      <c r="M25" s="487">
        <f>12210215-M24</f>
        <v>12201671</v>
      </c>
      <c r="N25" s="487">
        <f>4513054-N24</f>
        <v>4511487</v>
      </c>
      <c r="O25" s="428">
        <f>(N25/M25)*100</f>
        <v>36.974337367398284</v>
      </c>
    </row>
    <row r="26" spans="1:15" s="378" customFormat="1" ht="21.75" customHeight="1" thickBot="1" x14ac:dyDescent="0.3">
      <c r="A26" s="463" t="s">
        <v>114</v>
      </c>
      <c r="B26" s="434">
        <v>1147935</v>
      </c>
      <c r="C26" s="434">
        <v>1437439</v>
      </c>
      <c r="D26" s="434">
        <v>116680</v>
      </c>
      <c r="E26" s="406">
        <f t="shared" si="8"/>
        <v>8.1172140174296104</v>
      </c>
      <c r="F26" s="391"/>
      <c r="G26" s="419">
        <f>B26-L26</f>
        <v>1113635</v>
      </c>
      <c r="H26" s="435">
        <f t="shared" ref="H26" si="12">C26-M26</f>
        <v>1315215</v>
      </c>
      <c r="I26" s="435">
        <f t="shared" ref="I26" si="13">D26-N26</f>
        <v>84178</v>
      </c>
      <c r="J26" s="406">
        <f t="shared" si="9"/>
        <v>6.4003223807514358</v>
      </c>
      <c r="K26" s="391"/>
      <c r="L26" s="436">
        <f>34300+0</f>
        <v>34300</v>
      </c>
      <c r="M26" s="434">
        <f>34300+87924</f>
        <v>122224</v>
      </c>
      <c r="N26" s="434">
        <f>0+32502</f>
        <v>32502</v>
      </c>
      <c r="O26" s="406">
        <f>(N26/M26)*100</f>
        <v>26.592158659510407</v>
      </c>
    </row>
    <row r="27" spans="1:15" ht="16.5" thickTop="1" thickBot="1" x14ac:dyDescent="0.25">
      <c r="A27" s="383" t="s">
        <v>139</v>
      </c>
      <c r="B27" s="384">
        <f>B26+B20</f>
        <v>5956051</v>
      </c>
      <c r="C27" s="384">
        <f>C26+C20</f>
        <v>18557767</v>
      </c>
      <c r="D27" s="384">
        <f>D26+D20</f>
        <v>5900436</v>
      </c>
      <c r="E27" s="401">
        <f t="shared" si="8"/>
        <v>31.794967573415491</v>
      </c>
      <c r="F27" s="393"/>
      <c r="G27" s="441">
        <f>G26+G20</f>
        <v>5910689</v>
      </c>
      <c r="H27" s="442">
        <f>H26+H20</f>
        <v>6214266</v>
      </c>
      <c r="I27" s="442">
        <f>I26+I20</f>
        <v>1352199</v>
      </c>
      <c r="J27" s="443">
        <f t="shared" si="9"/>
        <v>21.759593168364535</v>
      </c>
      <c r="K27" s="393"/>
      <c r="L27" s="466">
        <f>L26+L20</f>
        <v>45362</v>
      </c>
      <c r="M27" s="384">
        <f>M26+M20</f>
        <v>12343501</v>
      </c>
      <c r="N27" s="384">
        <f>N26+N20</f>
        <v>4548237</v>
      </c>
      <c r="O27" s="401">
        <f>(N27/M27)*100</f>
        <v>36.847220249749242</v>
      </c>
    </row>
    <row r="28" spans="1:15" ht="13.5" thickBot="1" x14ac:dyDescent="0.25">
      <c r="A28" s="420"/>
      <c r="B28" s="420"/>
      <c r="C28" s="440"/>
      <c r="D28" s="440"/>
      <c r="E28" s="420"/>
      <c r="F28" s="13"/>
      <c r="G28" s="420"/>
      <c r="H28" s="440"/>
      <c r="I28" s="440"/>
      <c r="J28" s="420"/>
      <c r="K28" s="13"/>
      <c r="L28" s="420"/>
      <c r="M28" s="440"/>
      <c r="N28" s="440"/>
      <c r="O28" s="420"/>
    </row>
    <row r="29" spans="1:15" ht="15.75" thickBot="1" x14ac:dyDescent="0.25">
      <c r="A29" s="437" t="s">
        <v>151</v>
      </c>
      <c r="B29" s="438">
        <f>B27-B16</f>
        <v>99659</v>
      </c>
      <c r="C29" s="438">
        <f>C27-C16</f>
        <v>484996</v>
      </c>
      <c r="D29" s="438">
        <f>D27-D16</f>
        <v>-418070</v>
      </c>
      <c r="E29" s="439"/>
      <c r="F29" s="393"/>
      <c r="G29" s="444">
        <f>G27-G16</f>
        <v>88601</v>
      </c>
      <c r="H29" s="438">
        <f>H27-H16</f>
        <v>354518</v>
      </c>
      <c r="I29" s="438">
        <f>I27-I16</f>
        <v>-320263</v>
      </c>
      <c r="J29" s="439"/>
      <c r="K29" s="393"/>
      <c r="L29" s="445">
        <f>L27-L16</f>
        <v>11058</v>
      </c>
      <c r="M29" s="446">
        <f>M27-M16</f>
        <v>130478</v>
      </c>
      <c r="N29" s="446">
        <f>N27-N16</f>
        <v>-97807</v>
      </c>
      <c r="O29" s="447"/>
    </row>
    <row r="31" spans="1:15" ht="20.25" x14ac:dyDescent="0.3">
      <c r="A31" s="379" t="s">
        <v>149</v>
      </c>
      <c r="B31" s="379"/>
      <c r="C31" s="379"/>
      <c r="D31" s="379"/>
      <c r="E31" s="379"/>
      <c r="F31" s="379"/>
    </row>
    <row r="32" spans="1:15" ht="15" thickBot="1" x14ac:dyDescent="0.25">
      <c r="A32" s="509"/>
      <c r="B32" s="509"/>
      <c r="C32" s="509"/>
      <c r="D32" s="509"/>
      <c r="E32" s="509"/>
      <c r="F32" s="375"/>
      <c r="N32" s="2" t="s">
        <v>0</v>
      </c>
    </row>
    <row r="33" spans="1:14" ht="17.100000000000001" customHeight="1" thickBot="1" x14ac:dyDescent="0.25">
      <c r="B33" s="503" t="s">
        <v>135</v>
      </c>
      <c r="C33" s="504"/>
      <c r="D33" s="505"/>
      <c r="G33" s="503" t="s">
        <v>136</v>
      </c>
      <c r="H33" s="504"/>
      <c r="I33" s="505"/>
      <c r="L33" s="503" t="s">
        <v>137</v>
      </c>
      <c r="M33" s="504"/>
      <c r="N33" s="505"/>
    </row>
    <row r="34" spans="1:14" ht="20.100000000000001" customHeight="1" thickBot="1" x14ac:dyDescent="0.25">
      <c r="A34" s="415" t="s">
        <v>1</v>
      </c>
      <c r="B34" s="451" t="s">
        <v>145</v>
      </c>
      <c r="C34" s="451" t="s">
        <v>146</v>
      </c>
      <c r="D34" s="452" t="s">
        <v>138</v>
      </c>
      <c r="G34" s="450" t="s">
        <v>145</v>
      </c>
      <c r="H34" s="451" t="s">
        <v>146</v>
      </c>
      <c r="I34" s="452" t="s">
        <v>138</v>
      </c>
      <c r="L34" s="450" t="s">
        <v>145</v>
      </c>
      <c r="M34" s="451" t="s">
        <v>146</v>
      </c>
      <c r="N34" s="452" t="s">
        <v>138</v>
      </c>
    </row>
    <row r="35" spans="1:14" ht="15" thickTop="1" x14ac:dyDescent="0.2">
      <c r="A35" s="448" t="s">
        <v>102</v>
      </c>
      <c r="B35" s="359">
        <f>G35+L35</f>
        <v>1282512</v>
      </c>
      <c r="C35" s="359">
        <f>D6</f>
        <v>1252231</v>
      </c>
      <c r="D35" s="402">
        <f t="shared" ref="D35:D41" si="14">(C35/B35)*100</f>
        <v>97.638930473944882</v>
      </c>
      <c r="G35" s="449">
        <v>1281500</v>
      </c>
      <c r="H35" s="374">
        <f>I6</f>
        <v>1250968</v>
      </c>
      <c r="I35" s="410">
        <f t="shared" ref="I35:I41" si="15">(H35/G35)*100</f>
        <v>97.617479516191963</v>
      </c>
      <c r="L35" s="424">
        <v>1012</v>
      </c>
      <c r="M35" s="358">
        <f>N6</f>
        <v>1263</v>
      </c>
      <c r="N35" s="402">
        <f>(M35/L35)*100</f>
        <v>124.80237154150198</v>
      </c>
    </row>
    <row r="36" spans="1:14" ht="14.25" x14ac:dyDescent="0.2">
      <c r="A36" s="403" t="s">
        <v>103</v>
      </c>
      <c r="B36" s="360">
        <f>G36+L36</f>
        <v>217910</v>
      </c>
      <c r="C36" s="360">
        <f>D11</f>
        <v>232276</v>
      </c>
      <c r="D36" s="404">
        <f t="shared" si="14"/>
        <v>106.59262998485613</v>
      </c>
      <c r="G36" s="418">
        <v>199047</v>
      </c>
      <c r="H36" s="361">
        <f>I11</f>
        <v>216180</v>
      </c>
      <c r="I36" s="404">
        <f t="shared" si="15"/>
        <v>108.60751480806042</v>
      </c>
      <c r="L36" s="418">
        <f>402+18461</f>
        <v>18863</v>
      </c>
      <c r="M36" s="361">
        <f>N11</f>
        <v>16096</v>
      </c>
      <c r="N36" s="404">
        <f t="shared" ref="N36" si="16">(M36/L36)*100</f>
        <v>85.331071409637914</v>
      </c>
    </row>
    <row r="37" spans="1:14" ht="14.25" x14ac:dyDescent="0.2">
      <c r="A37" s="405" t="s">
        <v>104</v>
      </c>
      <c r="B37" s="360">
        <f t="shared" ref="B37" si="17">G37+L37</f>
        <v>3698</v>
      </c>
      <c r="C37" s="360">
        <f>D12</f>
        <v>48</v>
      </c>
      <c r="D37" s="404">
        <f t="shared" si="14"/>
        <v>1.2979989183342346</v>
      </c>
      <c r="G37" s="418">
        <v>3698</v>
      </c>
      <c r="H37" s="361">
        <f>I12</f>
        <v>48</v>
      </c>
      <c r="I37" s="404">
        <f t="shared" si="15"/>
        <v>1.2979989183342346</v>
      </c>
      <c r="L37" s="418">
        <v>0</v>
      </c>
      <c r="M37" s="361">
        <f>N12</f>
        <v>0</v>
      </c>
      <c r="N37" s="404">
        <v>0</v>
      </c>
    </row>
    <row r="38" spans="1:14" ht="14.25" x14ac:dyDescent="0.2">
      <c r="A38" s="403" t="s">
        <v>105</v>
      </c>
      <c r="B38" s="360">
        <f>G38+L38</f>
        <v>4214728</v>
      </c>
      <c r="C38" s="360">
        <f>D13</f>
        <v>4833951</v>
      </c>
      <c r="D38" s="404">
        <f t="shared" si="14"/>
        <v>114.6918852177412</v>
      </c>
      <c r="G38" s="418">
        <v>108299</v>
      </c>
      <c r="H38" s="361">
        <f>I13</f>
        <v>205266</v>
      </c>
      <c r="I38" s="404">
        <f t="shared" si="15"/>
        <v>189.53637614382404</v>
      </c>
      <c r="L38" s="418">
        <f>816+4105613</f>
        <v>4106429</v>
      </c>
      <c r="M38" s="361">
        <f>N13</f>
        <v>4628685</v>
      </c>
      <c r="N38" s="404">
        <f t="shared" ref="N38:N40" si="18">(M38/L38)*100</f>
        <v>112.71800876138367</v>
      </c>
    </row>
    <row r="39" spans="1:14" ht="14.25" x14ac:dyDescent="0.2">
      <c r="A39" s="381" t="s">
        <v>147</v>
      </c>
      <c r="B39" s="487">
        <f>G39+L39</f>
        <v>4158536</v>
      </c>
      <c r="C39" s="487">
        <f>D14</f>
        <v>4634933</v>
      </c>
      <c r="D39" s="427">
        <f t="shared" si="14"/>
        <v>111.45588255097468</v>
      </c>
      <c r="G39" s="492">
        <f>10000+27408+16797-816</f>
        <v>53389</v>
      </c>
      <c r="H39" s="487">
        <f>I14</f>
        <v>40986</v>
      </c>
      <c r="I39" s="427">
        <f t="shared" si="15"/>
        <v>76.768622750004681</v>
      </c>
      <c r="L39" s="492">
        <f>2542+4101652+48+89+816</f>
        <v>4105147</v>
      </c>
      <c r="M39" s="487">
        <f>N14</f>
        <v>4593947</v>
      </c>
      <c r="N39" s="427">
        <f t="shared" si="18"/>
        <v>111.90700357380625</v>
      </c>
    </row>
    <row r="40" spans="1:14" ht="15" thickBot="1" x14ac:dyDescent="0.25">
      <c r="A40" s="409" t="s">
        <v>148</v>
      </c>
      <c r="B40" s="500">
        <f>G40+L40</f>
        <v>56192</v>
      </c>
      <c r="C40" s="500">
        <f>D15</f>
        <v>199018</v>
      </c>
      <c r="D40" s="501">
        <f t="shared" si="14"/>
        <v>354.17497152619586</v>
      </c>
      <c r="G40" s="502">
        <f>2790+2896+49224</f>
        <v>54910</v>
      </c>
      <c r="H40" s="500">
        <f>I15</f>
        <v>164280</v>
      </c>
      <c r="I40" s="501">
        <f t="shared" si="15"/>
        <v>299.18047714441815</v>
      </c>
      <c r="L40" s="502">
        <f>1206+76</f>
        <v>1282</v>
      </c>
      <c r="M40" s="500">
        <f>N15</f>
        <v>34738</v>
      </c>
      <c r="N40" s="501">
        <f t="shared" si="18"/>
        <v>2709.6723868954759</v>
      </c>
    </row>
    <row r="41" spans="1:14" ht="17.25" thickTop="1" thickBot="1" x14ac:dyDescent="0.3">
      <c r="A41" s="465" t="s">
        <v>8</v>
      </c>
      <c r="B41" s="380">
        <f>SUM(B35:B38)</f>
        <v>5718848</v>
      </c>
      <c r="C41" s="380">
        <f>SUM(C35:C38)</f>
        <v>6318506</v>
      </c>
      <c r="D41" s="499">
        <f t="shared" si="14"/>
        <v>110.48564326241927</v>
      </c>
      <c r="G41" s="453">
        <f>SUM(G35:G38)</f>
        <v>1592544</v>
      </c>
      <c r="H41" s="387">
        <f>SUM(H35:H38)</f>
        <v>1672462</v>
      </c>
      <c r="I41" s="388">
        <f t="shared" si="15"/>
        <v>105.01826009202885</v>
      </c>
      <c r="L41" s="453">
        <f>SUM(L35:L38)</f>
        <v>4126304</v>
      </c>
      <c r="M41" s="387">
        <f>SUM(M35:M38)</f>
        <v>4646044</v>
      </c>
      <c r="N41" s="388">
        <f t="shared" ref="N41" si="19">(M41/L41)*100</f>
        <v>112.59577578384918</v>
      </c>
    </row>
    <row r="42" spans="1:14" ht="13.5" thickBot="1" x14ac:dyDescent="0.25">
      <c r="A42" s="225"/>
      <c r="B42" s="226"/>
      <c r="C42" s="226"/>
      <c r="D42" s="225"/>
      <c r="G42" s="13"/>
    </row>
    <row r="43" spans="1:14" ht="20.100000000000001" customHeight="1" thickBot="1" x14ac:dyDescent="0.25">
      <c r="A43" s="415" t="s">
        <v>92</v>
      </c>
      <c r="B43" s="454" t="s">
        <v>145</v>
      </c>
      <c r="C43" s="454" t="s">
        <v>146</v>
      </c>
      <c r="D43" s="455" t="s">
        <v>138</v>
      </c>
      <c r="G43" s="457" t="s">
        <v>145</v>
      </c>
      <c r="H43" s="454" t="s">
        <v>146</v>
      </c>
      <c r="I43" s="455" t="s">
        <v>138</v>
      </c>
      <c r="L43" s="457" t="s">
        <v>145</v>
      </c>
      <c r="M43" s="454" t="s">
        <v>146</v>
      </c>
      <c r="N43" s="455" t="s">
        <v>138</v>
      </c>
    </row>
    <row r="44" spans="1:14" s="378" customFormat="1" ht="15" thickTop="1" x14ac:dyDescent="0.2">
      <c r="A44" s="462" t="s">
        <v>113</v>
      </c>
      <c r="B44" s="459">
        <f>G44+L44</f>
        <v>5426237</v>
      </c>
      <c r="C44" s="459">
        <f>D20</f>
        <v>5783756</v>
      </c>
      <c r="D44" s="460">
        <f>C44/B44*100</f>
        <v>106.58870963431933</v>
      </c>
      <c r="G44" s="424">
        <v>1326291</v>
      </c>
      <c r="H44" s="358">
        <f>I20</f>
        <v>1268021</v>
      </c>
      <c r="I44" s="460">
        <f>H44/G44*100</f>
        <v>95.606544868358455</v>
      </c>
      <c r="L44" s="464">
        <v>4099946</v>
      </c>
      <c r="M44" s="459">
        <f t="shared" ref="M44:M50" si="20">N20</f>
        <v>4515735</v>
      </c>
      <c r="N44" s="460">
        <f>M44/L44*100</f>
        <v>110.14132869067058</v>
      </c>
    </row>
    <row r="45" spans="1:14" ht="14.25" x14ac:dyDescent="0.2">
      <c r="A45" s="381" t="s">
        <v>142</v>
      </c>
      <c r="B45" s="487">
        <f>G45+L45</f>
        <v>85310</v>
      </c>
      <c r="C45" s="487">
        <f>H45+M45</f>
        <v>53531</v>
      </c>
      <c r="D45" s="427">
        <f>(C45/B45)*100</f>
        <v>62.748798499589732</v>
      </c>
      <c r="G45" s="492">
        <v>82462</v>
      </c>
      <c r="H45" s="487">
        <f>I21</f>
        <v>50850</v>
      </c>
      <c r="I45" s="427">
        <f>(H45/G45)*100</f>
        <v>61.664766801678347</v>
      </c>
      <c r="L45" s="492">
        <v>2848</v>
      </c>
      <c r="M45" s="487">
        <f t="shared" si="20"/>
        <v>2681</v>
      </c>
      <c r="N45" s="428">
        <f>(M45/L45)*100</f>
        <v>94.136235955056179</v>
      </c>
    </row>
    <row r="46" spans="1:14" ht="14.25" x14ac:dyDescent="0.2">
      <c r="A46" s="381" t="s">
        <v>129</v>
      </c>
      <c r="B46" s="487">
        <f t="shared" ref="B46:B47" si="21">G46+L46</f>
        <v>611425</v>
      </c>
      <c r="C46" s="487">
        <f>H46+M46</f>
        <v>605669</v>
      </c>
      <c r="D46" s="427">
        <f>(C46/B46)*100</f>
        <v>99.05859263196632</v>
      </c>
      <c r="G46" s="492">
        <v>611425</v>
      </c>
      <c r="H46" s="487">
        <f t="shared" ref="H46:H49" si="22">I22</f>
        <v>605669</v>
      </c>
      <c r="I46" s="427">
        <f>(H46/G46)*100</f>
        <v>99.05859263196632</v>
      </c>
      <c r="L46" s="492">
        <v>0</v>
      </c>
      <c r="M46" s="487">
        <f t="shared" si="20"/>
        <v>0</v>
      </c>
      <c r="N46" s="428">
        <v>0</v>
      </c>
    </row>
    <row r="47" spans="1:14" ht="14.25" x14ac:dyDescent="0.2">
      <c r="A47" s="382" t="s">
        <v>143</v>
      </c>
      <c r="B47" s="487">
        <f t="shared" si="21"/>
        <v>454680</v>
      </c>
      <c r="C47" s="487">
        <f>H47+M47</f>
        <v>463252</v>
      </c>
      <c r="D47" s="427">
        <f>(C47/B47)*100</f>
        <v>101.88528195654088</v>
      </c>
      <c r="G47" s="492">
        <v>454680</v>
      </c>
      <c r="H47" s="487">
        <f t="shared" si="22"/>
        <v>463252</v>
      </c>
      <c r="I47" s="427">
        <f>(H47/G47)*100</f>
        <v>101.88528195654088</v>
      </c>
      <c r="L47" s="492">
        <v>0</v>
      </c>
      <c r="M47" s="487">
        <f t="shared" si="20"/>
        <v>0</v>
      </c>
      <c r="N47" s="428">
        <v>0</v>
      </c>
    </row>
    <row r="48" spans="1:14" ht="14.25" x14ac:dyDescent="0.2">
      <c r="A48" s="381" t="s">
        <v>154</v>
      </c>
      <c r="B48" s="487">
        <f>G48+L48</f>
        <v>58688</v>
      </c>
      <c r="C48" s="487">
        <f>H48+M48</f>
        <v>61422</v>
      </c>
      <c r="D48" s="427">
        <f>(C48/B48)*100</f>
        <v>104.65853326063251</v>
      </c>
      <c r="G48" s="492">
        <f>55669+1530</f>
        <v>57199</v>
      </c>
      <c r="H48" s="487">
        <f>I24</f>
        <v>59855</v>
      </c>
      <c r="I48" s="427">
        <f>(H48/G48)*100</f>
        <v>104.64343782233956</v>
      </c>
      <c r="L48" s="492">
        <f>3019-1530</f>
        <v>1489</v>
      </c>
      <c r="M48" s="487">
        <f t="shared" si="20"/>
        <v>1567</v>
      </c>
      <c r="N48" s="428">
        <f>(M48/L48)*100</f>
        <v>105.23841504365346</v>
      </c>
    </row>
    <row r="49" spans="1:14" ht="14.25" x14ac:dyDescent="0.2">
      <c r="A49" s="381" t="s">
        <v>155</v>
      </c>
      <c r="B49" s="487">
        <f>G49+L49</f>
        <v>4216134</v>
      </c>
      <c r="C49" s="487">
        <f>H49+M49</f>
        <v>4599882</v>
      </c>
      <c r="D49" s="427">
        <f>(C49/B49)*100</f>
        <v>109.10189287152639</v>
      </c>
      <c r="G49" s="492">
        <f>G44-G45-G46-G47-G48</f>
        <v>120525</v>
      </c>
      <c r="H49" s="487">
        <f t="shared" si="22"/>
        <v>88395</v>
      </c>
      <c r="I49" s="427">
        <f>(H49/G49)*100</f>
        <v>73.34163036714375</v>
      </c>
      <c r="L49" s="492">
        <f>L44-L45-L48</f>
        <v>4095609</v>
      </c>
      <c r="M49" s="487">
        <f t="shared" si="20"/>
        <v>4511487</v>
      </c>
      <c r="N49" s="428">
        <f>(M49/L49)*100</f>
        <v>110.15424079788868</v>
      </c>
    </row>
    <row r="50" spans="1:14" s="378" customFormat="1" ht="15" thickBot="1" x14ac:dyDescent="0.25">
      <c r="A50" s="463" t="s">
        <v>114</v>
      </c>
      <c r="B50" s="434">
        <f>G50+L50</f>
        <v>153566</v>
      </c>
      <c r="C50" s="434">
        <f>D26</f>
        <v>116680</v>
      </c>
      <c r="D50" s="461">
        <f>C50/B50*100</f>
        <v>75.980360235989735</v>
      </c>
      <c r="G50" s="419">
        <v>123089</v>
      </c>
      <c r="H50" s="435">
        <f t="shared" ref="H50" si="23">I26</f>
        <v>84178</v>
      </c>
      <c r="I50" s="461">
        <f>H50/G50*100</f>
        <v>68.387914435895979</v>
      </c>
      <c r="L50" s="436">
        <v>30477</v>
      </c>
      <c r="M50" s="434">
        <f t="shared" si="20"/>
        <v>32502</v>
      </c>
      <c r="N50" s="461">
        <f>M50/L50*100</f>
        <v>106.6443547593267</v>
      </c>
    </row>
    <row r="51" spans="1:14" ht="16.5" thickTop="1" thickBot="1" x14ac:dyDescent="0.25">
      <c r="A51" s="437" t="s">
        <v>140</v>
      </c>
      <c r="B51" s="456">
        <f t="shared" ref="B51" si="24">B50+B44</f>
        <v>5579803</v>
      </c>
      <c r="C51" s="456">
        <f t="shared" ref="C51" si="25">C50+C44</f>
        <v>5900436</v>
      </c>
      <c r="D51" s="439">
        <f>C51/B51*100</f>
        <v>105.74631398276964</v>
      </c>
      <c r="G51" s="458">
        <f t="shared" ref="G51" si="26">G50+G44</f>
        <v>1449380</v>
      </c>
      <c r="H51" s="456">
        <f t="shared" ref="H51" si="27">H50+H44</f>
        <v>1352199</v>
      </c>
      <c r="I51" s="439">
        <f>H51/G51*100</f>
        <v>93.294995101353678</v>
      </c>
      <c r="L51" s="458">
        <f t="shared" ref="L51" si="28">L50+L44</f>
        <v>4130423</v>
      </c>
      <c r="M51" s="456">
        <f t="shared" ref="M51" si="29">M50+M44</f>
        <v>4548237</v>
      </c>
      <c r="N51" s="439">
        <f>M51/L51*100</f>
        <v>110.11552569797331</v>
      </c>
    </row>
    <row r="52" spans="1:14" ht="13.5" thickBot="1" x14ac:dyDescent="0.25">
      <c r="B52" s="169"/>
      <c r="D52" s="1"/>
      <c r="G52" s="169"/>
      <c r="H52" s="169"/>
      <c r="L52" s="169"/>
      <c r="M52" s="169"/>
    </row>
    <row r="53" spans="1:14" ht="15.75" thickBot="1" x14ac:dyDescent="0.25">
      <c r="A53" s="467" t="s">
        <v>151</v>
      </c>
      <c r="B53" s="446">
        <f>B51-B41</f>
        <v>-139045</v>
      </c>
      <c r="C53" s="446">
        <f>C51-C41</f>
        <v>-418070</v>
      </c>
      <c r="D53" s="468"/>
      <c r="E53" s="385"/>
      <c r="F53" s="385"/>
      <c r="G53" s="445">
        <f>G51-G41</f>
        <v>-143164</v>
      </c>
      <c r="H53" s="446">
        <f>H51-H41</f>
        <v>-320263</v>
      </c>
      <c r="I53" s="468"/>
      <c r="J53" s="385"/>
      <c r="K53" s="385"/>
      <c r="L53" s="445">
        <f>L51-L41</f>
        <v>4119</v>
      </c>
      <c r="M53" s="446">
        <f>M51-M41</f>
        <v>-97807</v>
      </c>
      <c r="N53" s="468"/>
    </row>
    <row r="54" spans="1:14" x14ac:dyDescent="0.2">
      <c r="B54" s="169"/>
      <c r="D54" s="1"/>
    </row>
    <row r="55" spans="1:14" x14ac:dyDescent="0.2">
      <c r="B55" s="169"/>
      <c r="D55" s="1"/>
    </row>
    <row r="56" spans="1:14" x14ac:dyDescent="0.2">
      <c r="B56" s="169"/>
      <c r="D56" s="1"/>
    </row>
    <row r="57" spans="1:14" x14ac:dyDescent="0.2">
      <c r="B57" s="169"/>
      <c r="D57" s="1"/>
    </row>
    <row r="58" spans="1:14" x14ac:dyDescent="0.2">
      <c r="B58" s="169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21. 6. 2021
12.2. - Rozpočet Olomouckého kraje 2021 - plnění rozpočtu k 31. 3. 2021
Příloha č. 1 - Bilance Olomouckého kraje k 31. 3. 2021&amp;R&amp;"Arial CE,Kurzíva"Strana &amp;P (Celkem 8)
</oddFooter>
  </headerFooter>
  <rowBreaks count="1" manualBreakCount="1">
    <brk id="53" max="14" man="1"/>
  </rowBreaks>
  <colBreaks count="1" manualBreakCount="1">
    <brk id="19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sqref="A1:E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4" t="s">
        <v>130</v>
      </c>
      <c r="B1" s="514"/>
      <c r="C1" s="514"/>
      <c r="D1" s="514"/>
      <c r="E1" s="514"/>
    </row>
    <row r="3" spans="1:7" x14ac:dyDescent="0.2">
      <c r="A3" s="509" t="s">
        <v>95</v>
      </c>
      <c r="B3" s="509"/>
      <c r="C3" s="509"/>
      <c r="D3" s="509"/>
      <c r="E3" s="509"/>
    </row>
    <row r="4" spans="1:7" ht="30.75" customHeight="1" x14ac:dyDescent="0.2">
      <c r="A4" s="509"/>
      <c r="B4" s="509"/>
      <c r="C4" s="509"/>
      <c r="D4" s="509"/>
      <c r="E4" s="509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3" t="s">
        <v>1</v>
      </c>
      <c r="B7" s="264" t="s">
        <v>11</v>
      </c>
      <c r="C7" s="264" t="s">
        <v>12</v>
      </c>
      <c r="D7" s="264" t="s">
        <v>4</v>
      </c>
      <c r="E7" s="265" t="s">
        <v>5</v>
      </c>
    </row>
    <row r="8" spans="1:7" s="4" customFormat="1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7" t="s">
        <v>96</v>
      </c>
    </row>
    <row r="9" spans="1:7" ht="18.95" customHeight="1" thickTop="1" x14ac:dyDescent="0.2">
      <c r="A9" s="223" t="s">
        <v>102</v>
      </c>
      <c r="B9" s="227">
        <v>4997689</v>
      </c>
      <c r="C9" s="232">
        <v>4869689</v>
      </c>
      <c r="D9" s="232">
        <v>1252231</v>
      </c>
      <c r="E9" s="80">
        <f>(D9/C9)*100</f>
        <v>25.714804374570942</v>
      </c>
    </row>
    <row r="10" spans="1:7" ht="18.95" customHeight="1" x14ac:dyDescent="0.2">
      <c r="A10" s="223" t="s">
        <v>103</v>
      </c>
      <c r="B10" s="228">
        <v>489242</v>
      </c>
      <c r="C10" s="232">
        <v>543848</v>
      </c>
      <c r="D10" s="232">
        <v>232276</v>
      </c>
      <c r="E10" s="81">
        <f t="shared" ref="E10:E15" si="0">(D10/C10)*100</f>
        <v>42.709727718038863</v>
      </c>
    </row>
    <row r="11" spans="1:7" ht="18.95" customHeight="1" x14ac:dyDescent="0.2">
      <c r="A11" s="297" t="s">
        <v>104</v>
      </c>
      <c r="B11" s="228">
        <v>8355</v>
      </c>
      <c r="C11" s="232">
        <v>8355</v>
      </c>
      <c r="D11" s="232">
        <v>48</v>
      </c>
      <c r="E11" s="81">
        <f t="shared" si="0"/>
        <v>0.57450628366247758</v>
      </c>
    </row>
    <row r="12" spans="1:7" ht="18.95" customHeight="1" x14ac:dyDescent="0.2">
      <c r="A12" s="224" t="s">
        <v>105</v>
      </c>
      <c r="B12" s="229">
        <v>372164</v>
      </c>
      <c r="C12" s="233">
        <v>12661937</v>
      </c>
      <c r="D12" s="233">
        <v>10052862</v>
      </c>
      <c r="E12" s="81">
        <f t="shared" si="0"/>
        <v>79.394345430718843</v>
      </c>
      <c r="G12" s="11"/>
    </row>
    <row r="13" spans="1:7" ht="18.95" customHeight="1" x14ac:dyDescent="0.25">
      <c r="A13" s="12" t="s">
        <v>8</v>
      </c>
      <c r="B13" s="230">
        <f>SUM(B9:B12)</f>
        <v>5867450</v>
      </c>
      <c r="C13" s="234">
        <f>SUM(C9:C12)</f>
        <v>18083829</v>
      </c>
      <c r="D13" s="234">
        <f>SUM(D9:D12)</f>
        <v>11537417</v>
      </c>
      <c r="E13" s="83">
        <f t="shared" si="0"/>
        <v>63.799635574965897</v>
      </c>
    </row>
    <row r="14" spans="1:7" s="6" customFormat="1" ht="21.75" customHeight="1" x14ac:dyDescent="0.2">
      <c r="A14" s="7" t="s">
        <v>106</v>
      </c>
      <c r="B14" s="227">
        <v>11058</v>
      </c>
      <c r="C14" s="235">
        <v>11058</v>
      </c>
      <c r="D14" s="232">
        <v>5218911</v>
      </c>
      <c r="E14" s="81">
        <f t="shared" si="0"/>
        <v>47195.794899620181</v>
      </c>
    </row>
    <row r="15" spans="1:7" s="6" customFormat="1" ht="45.75" customHeight="1" thickBot="1" x14ac:dyDescent="0.3">
      <c r="A15" s="8" t="s">
        <v>7</v>
      </c>
      <c r="B15" s="231">
        <f>B13-B14</f>
        <v>5856392</v>
      </c>
      <c r="C15" s="236">
        <f>C13-C14</f>
        <v>18072771</v>
      </c>
      <c r="D15" s="236">
        <f>D13-D14</f>
        <v>6318506</v>
      </c>
      <c r="E15" s="82">
        <f t="shared" si="0"/>
        <v>34.961467724014213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513" t="s">
        <v>125</v>
      </c>
      <c r="B17" s="513"/>
      <c r="C17" s="513"/>
      <c r="D17" s="513"/>
      <c r="E17" s="513"/>
    </row>
    <row r="18" spans="1:7" x14ac:dyDescent="0.2">
      <c r="A18" s="513"/>
      <c r="B18" s="513"/>
      <c r="C18" s="513"/>
      <c r="D18" s="513"/>
      <c r="E18" s="513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376"/>
      <c r="C21" s="226"/>
      <c r="D21" s="226"/>
      <c r="E21" s="225"/>
    </row>
    <row r="24" spans="1:7" ht="21.75" customHeight="1" x14ac:dyDescent="0.2">
      <c r="B24" s="262"/>
      <c r="C24" s="262"/>
      <c r="D24" s="262"/>
    </row>
    <row r="25" spans="1:7" ht="28.5" customHeight="1" x14ac:dyDescent="0.2">
      <c r="B25" s="262"/>
      <c r="C25" s="262"/>
      <c r="D25" s="262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21. 6. 2021
12.2. - Rozpočet Olomouckého kraje 2021 - plnění rozpočtu k 31. 3. 2021
Příloha č. 2 - Plnění rozpočtu Olomouckého kraje k 31. 3. 2021&amp;R&amp;"Arial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zoomScaleNormal="100" zoomScaleSheetLayoutView="100" workbookViewId="0">
      <selection activeCell="A116" sqref="A116:B116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9" t="s">
        <v>131</v>
      </c>
      <c r="B1" s="520"/>
      <c r="C1" s="520"/>
      <c r="D1" s="520"/>
      <c r="E1" s="520"/>
      <c r="F1" s="520"/>
      <c r="G1" s="14"/>
      <c r="H1" s="14"/>
      <c r="I1" s="14"/>
      <c r="K1" s="16"/>
    </row>
    <row r="2" spans="1:14" ht="23.25" x14ac:dyDescent="0.35">
      <c r="A2" s="521"/>
      <c r="B2" s="521"/>
      <c r="C2" s="521"/>
      <c r="D2" s="521"/>
      <c r="E2" s="521"/>
      <c r="F2" s="521"/>
      <c r="G2" s="18"/>
      <c r="H2" s="18"/>
      <c r="I2" s="18"/>
      <c r="K2" s="16"/>
    </row>
    <row r="3" spans="1:14" ht="15" thickBot="1" x14ac:dyDescent="0.25">
      <c r="F3" s="296" t="s">
        <v>0</v>
      </c>
      <c r="G3" s="23"/>
      <c r="H3" s="23"/>
      <c r="I3" s="23"/>
    </row>
    <row r="4" spans="1:14" s="25" customFormat="1" ht="24" thickTop="1" thickBot="1" x14ac:dyDescent="0.25">
      <c r="A4" s="268" t="s">
        <v>9</v>
      </c>
      <c r="B4" s="269" t="s">
        <v>10</v>
      </c>
      <c r="C4" s="270" t="s">
        <v>11</v>
      </c>
      <c r="D4" s="270" t="s">
        <v>12</v>
      </c>
      <c r="E4" s="270" t="s">
        <v>4</v>
      </c>
      <c r="F4" s="271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6">
        <v>1</v>
      </c>
      <c r="B5" s="264">
        <v>2</v>
      </c>
      <c r="C5" s="264">
        <v>3</v>
      </c>
      <c r="D5" s="264">
        <v>4</v>
      </c>
      <c r="E5" s="264">
        <v>5</v>
      </c>
      <c r="F5" s="272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4" t="s">
        <v>13</v>
      </c>
      <c r="B6" s="113">
        <v>1</v>
      </c>
      <c r="C6" s="86">
        <f>SUM(C7:C9)</f>
        <v>41281</v>
      </c>
      <c r="D6" s="86">
        <f t="shared" ref="D6:E6" si="0">SUM(D7:D9)</f>
        <v>41332</v>
      </c>
      <c r="E6" s="86">
        <f t="shared" si="0"/>
        <v>5388</v>
      </c>
      <c r="F6" s="349">
        <f t="shared" ref="F6:F32" si="1">(E6/D6)*100</f>
        <v>13.035904384012387</v>
      </c>
      <c r="G6" s="27"/>
      <c r="H6" s="27"/>
      <c r="I6" s="27"/>
      <c r="J6" s="193"/>
      <c r="K6" s="67"/>
      <c r="N6" s="250"/>
    </row>
    <row r="7" spans="1:14" s="32" customFormat="1" x14ac:dyDescent="0.2">
      <c r="A7" s="28" t="s">
        <v>109</v>
      </c>
      <c r="B7" s="308"/>
      <c r="C7" s="30">
        <f>41281-C9</f>
        <v>40711</v>
      </c>
      <c r="D7" s="30">
        <f>41332-D9</f>
        <v>40762</v>
      </c>
      <c r="E7" s="30">
        <f>5388-E9</f>
        <v>5146</v>
      </c>
      <c r="F7" s="350">
        <f t="shared" si="1"/>
        <v>12.624503213777539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3"/>
      <c r="C8" s="30">
        <v>0</v>
      </c>
      <c r="D8" s="30">
        <v>0</v>
      </c>
      <c r="E8" s="30">
        <v>0</v>
      </c>
      <c r="F8" s="350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7" t="s">
        <v>108</v>
      </c>
      <c r="B9" s="311"/>
      <c r="C9" s="351">
        <v>570</v>
      </c>
      <c r="D9" s="351">
        <v>570</v>
      </c>
      <c r="E9" s="351">
        <v>242</v>
      </c>
      <c r="F9" s="304">
        <f t="shared" si="1"/>
        <v>42.456140350877192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2" t="s">
        <v>86</v>
      </c>
      <c r="B10" s="325">
        <v>3</v>
      </c>
      <c r="C10" s="348">
        <f>SUM(C11:C13)</f>
        <v>433137</v>
      </c>
      <c r="D10" s="348">
        <f>SUM(D11:D13)</f>
        <v>438024</v>
      </c>
      <c r="E10" s="348">
        <f>SUM(E11:E13)</f>
        <v>72260</v>
      </c>
      <c r="F10" s="349">
        <f t="shared" si="1"/>
        <v>16.496812960020453</v>
      </c>
      <c r="G10" s="251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432487-C13</f>
        <v>421999</v>
      </c>
      <c r="D11" s="30">
        <f>435074-D13</f>
        <v>424586</v>
      </c>
      <c r="E11" s="30">
        <f>72260-E13</f>
        <v>67160</v>
      </c>
      <c r="F11" s="350">
        <f t="shared" si="1"/>
        <v>15.817761301597322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650</v>
      </c>
      <c r="D12" s="30">
        <v>2950</v>
      </c>
      <c r="E12" s="30">
        <v>0</v>
      </c>
      <c r="F12" s="350">
        <f>(E12/D12)*100</f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7" t="s">
        <v>108</v>
      </c>
      <c r="B13" s="308"/>
      <c r="C13" s="30">
        <v>10488</v>
      </c>
      <c r="D13" s="30">
        <v>10488</v>
      </c>
      <c r="E13" s="30">
        <v>5100</v>
      </c>
      <c r="F13" s="304">
        <f t="shared" si="1"/>
        <v>48.627002288329521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1" t="s">
        <v>87</v>
      </c>
      <c r="B14" s="325">
        <v>4</v>
      </c>
      <c r="C14" s="348">
        <f>SUM(C15:C16)</f>
        <v>4494</v>
      </c>
      <c r="D14" s="348">
        <f t="shared" ref="D14:E14" si="2">SUM(D15:D16)</f>
        <v>4494</v>
      </c>
      <c r="E14" s="348">
        <f t="shared" si="2"/>
        <v>851</v>
      </c>
      <c r="F14" s="349">
        <f t="shared" si="1"/>
        <v>18.9363595905652</v>
      </c>
      <c r="G14" s="251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2262</v>
      </c>
      <c r="D15" s="30">
        <v>2262</v>
      </c>
      <c r="E15" s="30">
        <v>226</v>
      </c>
      <c r="F15" s="350">
        <f t="shared" si="1"/>
        <v>9.9911582670203369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2232</v>
      </c>
      <c r="D16" s="30">
        <v>2232</v>
      </c>
      <c r="E16" s="30">
        <v>625</v>
      </c>
      <c r="F16" s="304">
        <f t="shared" si="1"/>
        <v>28.001792114695341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2" t="s">
        <v>119</v>
      </c>
      <c r="B17" s="325">
        <v>6</v>
      </c>
      <c r="C17" s="348">
        <f>SUM(C18:C19)</f>
        <v>30260</v>
      </c>
      <c r="D17" s="348">
        <f>SUM(D18:D19)</f>
        <v>32060</v>
      </c>
      <c r="E17" s="348">
        <f>SUM(E18:E19)</f>
        <v>8547</v>
      </c>
      <c r="F17" s="349">
        <f t="shared" ref="F17" si="3">(E17/D17)*100</f>
        <v>26.659388646288214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28260</v>
      </c>
      <c r="D18" s="30">
        <v>28260</v>
      </c>
      <c r="E18" s="30">
        <v>8318</v>
      </c>
      <c r="F18" s="350">
        <f>(E18/D18)*100</f>
        <v>29.433828733191792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2000</v>
      </c>
      <c r="D19" s="30">
        <v>3800</v>
      </c>
      <c r="E19" s="30">
        <v>229</v>
      </c>
      <c r="F19" s="304">
        <f t="shared" ref="F19" si="4">(E19/D19)*100</f>
        <v>6.0263157894736841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2" t="s">
        <v>19</v>
      </c>
      <c r="B20" s="325">
        <v>7</v>
      </c>
      <c r="C20" s="348">
        <f>SUM(C21:C24)</f>
        <v>251006</v>
      </c>
      <c r="D20" s="348">
        <f>SUM(D21:D24)</f>
        <v>299496</v>
      </c>
      <c r="E20" s="348">
        <f t="shared" ref="E20" si="5">SUM(E21:E24)</f>
        <v>5078111</v>
      </c>
      <c r="F20" s="349">
        <f t="shared" si="1"/>
        <v>1695.5521943531799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251006-C24-C23</f>
        <v>169670</v>
      </c>
      <c r="D21" s="30">
        <f>299496-D24-D23</f>
        <v>243861</v>
      </c>
      <c r="E21" s="30">
        <f>5078111-E24-E23</f>
        <v>14030</v>
      </c>
      <c r="F21" s="350">
        <f>(E21/D21)*100</f>
        <v>5.7532774818441652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50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09" t="s">
        <v>110</v>
      </c>
      <c r="B23" s="308"/>
      <c r="C23" s="30">
        <v>81336</v>
      </c>
      <c r="D23" s="30">
        <v>55635</v>
      </c>
      <c r="E23" s="30">
        <v>0</v>
      </c>
      <c r="F23" s="350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7" t="s">
        <v>108</v>
      </c>
      <c r="B24" s="311"/>
      <c r="C24" s="351">
        <v>0</v>
      </c>
      <c r="D24" s="351">
        <v>0</v>
      </c>
      <c r="E24" s="351">
        <v>5064081</v>
      </c>
      <c r="F24" s="304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6" t="s">
        <v>88</v>
      </c>
      <c r="B25" s="37">
        <v>8</v>
      </c>
      <c r="C25" s="352">
        <f>SUM(C26:C28)</f>
        <v>61434</v>
      </c>
      <c r="D25" s="352">
        <f t="shared" ref="D25:E25" si="6">SUM(D26:D28)</f>
        <v>73845</v>
      </c>
      <c r="E25" s="352">
        <f t="shared" si="6"/>
        <v>6775</v>
      </c>
      <c r="F25" s="349">
        <f>(E25/D25)*100</f>
        <v>9.1746225201435436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61434-C28-C27</f>
        <v>20109</v>
      </c>
      <c r="D26" s="30">
        <f>73845-D28-D27</f>
        <v>20109</v>
      </c>
      <c r="E26" s="30">
        <f>6775-E28-E27</f>
        <v>975</v>
      </c>
      <c r="F26" s="350">
        <f t="shared" si="1"/>
        <v>4.8485752648068026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50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7" t="s">
        <v>110</v>
      </c>
      <c r="B28" s="311"/>
      <c r="C28" s="351">
        <v>41325</v>
      </c>
      <c r="D28" s="351">
        <v>53736</v>
      </c>
      <c r="E28" s="351">
        <v>5800</v>
      </c>
      <c r="F28" s="304">
        <f t="shared" si="1"/>
        <v>10.793509006997173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6" t="s">
        <v>20</v>
      </c>
      <c r="B29" s="37">
        <v>9</v>
      </c>
      <c r="C29" s="352">
        <f>SUM(C30:C32)</f>
        <v>17425</v>
      </c>
      <c r="D29" s="352">
        <f t="shared" ref="D29" si="7">SUM(D30:D32)</f>
        <v>26792</v>
      </c>
      <c r="E29" s="352">
        <f>SUM(E30:E32)</f>
        <v>628</v>
      </c>
      <c r="F29" s="349">
        <f t="shared" si="1"/>
        <v>2.3439832785906241</v>
      </c>
      <c r="G29" s="251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64">
        <f>17425-C32</f>
        <v>3437</v>
      </c>
      <c r="D30" s="364">
        <f>26792-D32</f>
        <v>3914</v>
      </c>
      <c r="E30" s="364">
        <v>628</v>
      </c>
      <c r="F30" s="350">
        <f>(E30/D30)*100</f>
        <v>16.044966785896779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64">
        <v>0</v>
      </c>
      <c r="E31" s="30">
        <v>0</v>
      </c>
      <c r="F31" s="350">
        <v>0</v>
      </c>
      <c r="G31" s="31"/>
      <c r="H31" s="31"/>
      <c r="I31" s="88"/>
      <c r="J31" s="88"/>
      <c r="K31" s="55"/>
    </row>
    <row r="32" spans="1:14" s="32" customFormat="1" x14ac:dyDescent="0.2">
      <c r="A32" s="317" t="s">
        <v>110</v>
      </c>
      <c r="B32" s="311"/>
      <c r="C32" s="351">
        <v>13988</v>
      </c>
      <c r="D32" s="365">
        <v>22878</v>
      </c>
      <c r="E32" s="365">
        <v>0</v>
      </c>
      <c r="F32" s="350">
        <f t="shared" si="1"/>
        <v>0</v>
      </c>
      <c r="G32" s="31"/>
      <c r="H32" s="252"/>
      <c r="I32" s="252"/>
      <c r="J32" s="252"/>
      <c r="K32" s="55"/>
      <c r="N32" s="33"/>
    </row>
    <row r="33" spans="1:15" s="48" customFormat="1" ht="15" x14ac:dyDescent="0.25">
      <c r="A33" s="321" t="s">
        <v>99</v>
      </c>
      <c r="B33" s="322">
        <v>10</v>
      </c>
      <c r="C33" s="348">
        <f>C34+C38+C41</f>
        <v>31261</v>
      </c>
      <c r="D33" s="348">
        <f>D34+D38+D41</f>
        <v>10520541</v>
      </c>
      <c r="E33" s="348">
        <f>E34+E38+E41</f>
        <v>3557447</v>
      </c>
      <c r="F33" s="356">
        <f t="shared" ref="F33:F59" si="8">(E33/D33)*100</f>
        <v>33.814297192511297</v>
      </c>
      <c r="G33" s="27"/>
      <c r="H33" s="67"/>
      <c r="I33" s="67"/>
      <c r="J33" s="193"/>
      <c r="K33" s="67"/>
      <c r="N33" s="253"/>
    </row>
    <row r="34" spans="1:15" s="48" customFormat="1" x14ac:dyDescent="0.2">
      <c r="A34" s="307" t="s">
        <v>21</v>
      </c>
      <c r="B34" s="306"/>
      <c r="C34" s="353">
        <f>C35+C36+C37</f>
        <v>21566</v>
      </c>
      <c r="D34" s="353">
        <f>D35+D36+D37</f>
        <v>30153</v>
      </c>
      <c r="E34" s="353">
        <f>E35+E36+E37</f>
        <v>8321</v>
      </c>
      <c r="F34" s="350">
        <f t="shared" si="8"/>
        <v>27.595927436739299</v>
      </c>
      <c r="G34" s="31"/>
      <c r="H34" s="31"/>
      <c r="I34" s="31"/>
      <c r="J34" s="69"/>
      <c r="K34" s="254"/>
      <c r="L34" s="76"/>
      <c r="M34" s="76"/>
      <c r="N34" s="69"/>
      <c r="O34" s="76"/>
    </row>
    <row r="35" spans="1:15" s="48" customFormat="1" x14ac:dyDescent="0.2">
      <c r="A35" s="28" t="s">
        <v>109</v>
      </c>
      <c r="B35" s="327"/>
      <c r="C35" s="30">
        <v>1086</v>
      </c>
      <c r="D35" s="30">
        <v>9673</v>
      </c>
      <c r="E35" s="30">
        <v>8321</v>
      </c>
      <c r="F35" s="350">
        <f t="shared" si="8"/>
        <v>86.02295048071953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8"/>
      <c r="C36" s="30">
        <v>0</v>
      </c>
      <c r="D36" s="30">
        <v>0</v>
      </c>
      <c r="E36" s="30">
        <v>0</v>
      </c>
      <c r="F36" s="350">
        <v>0</v>
      </c>
      <c r="G36" s="31"/>
      <c r="H36" s="31"/>
      <c r="I36" s="31"/>
      <c r="J36" s="69"/>
      <c r="K36" s="55"/>
      <c r="L36" s="255"/>
      <c r="M36" s="76"/>
      <c r="N36" s="69"/>
      <c r="O36" s="76"/>
    </row>
    <row r="37" spans="1:15" s="48" customFormat="1" x14ac:dyDescent="0.2">
      <c r="A37" s="309" t="s">
        <v>110</v>
      </c>
      <c r="B37" s="328"/>
      <c r="C37" s="30">
        <v>20480</v>
      </c>
      <c r="D37" s="30">
        <v>20480</v>
      </c>
      <c r="E37" s="30">
        <v>0</v>
      </c>
      <c r="F37" s="350">
        <f>(E37/D37)*100</f>
        <v>0</v>
      </c>
      <c r="G37" s="31"/>
      <c r="H37" s="31"/>
      <c r="I37" s="31"/>
      <c r="J37" s="69"/>
      <c r="K37" s="55"/>
      <c r="L37" s="255"/>
      <c r="M37" s="76"/>
      <c r="N37" s="69"/>
      <c r="O37" s="76"/>
    </row>
    <row r="38" spans="1:15" s="48" customFormat="1" x14ac:dyDescent="0.2">
      <c r="A38" s="51" t="s">
        <v>22</v>
      </c>
      <c r="B38" s="328"/>
      <c r="C38" s="353">
        <f>C39+C40</f>
        <v>9695</v>
      </c>
      <c r="D38" s="353">
        <f>D39+D40</f>
        <v>3550051</v>
      </c>
      <c r="E38" s="353">
        <f>E39+E40</f>
        <v>1173003</v>
      </c>
      <c r="F38" s="350">
        <f t="shared" si="8"/>
        <v>33.041863342244945</v>
      </c>
      <c r="G38" s="31"/>
      <c r="H38" s="31"/>
      <c r="I38" s="31"/>
      <c r="J38" s="193"/>
      <c r="K38" s="254"/>
      <c r="L38" s="76"/>
      <c r="M38" s="76"/>
      <c r="N38" s="69"/>
      <c r="O38" s="76"/>
    </row>
    <row r="39" spans="1:15" s="48" customFormat="1" x14ac:dyDescent="0.2">
      <c r="A39" s="28" t="s">
        <v>109</v>
      </c>
      <c r="B39" s="328"/>
      <c r="C39" s="30">
        <f>10575-880</f>
        <v>9695</v>
      </c>
      <c r="D39" s="30">
        <f>3550469-418</f>
        <v>3550051</v>
      </c>
      <c r="E39" s="30">
        <v>1173003</v>
      </c>
      <c r="F39" s="350">
        <f t="shared" si="8"/>
        <v>33.041863342244945</v>
      </c>
      <c r="G39" s="256"/>
      <c r="H39" s="256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8"/>
      <c r="C40" s="30">
        <v>0</v>
      </c>
      <c r="D40" s="30">
        <v>0</v>
      </c>
      <c r="E40" s="30">
        <v>0</v>
      </c>
      <c r="F40" s="350"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29" t="s">
        <v>118</v>
      </c>
      <c r="B41" s="328"/>
      <c r="C41" s="366">
        <f>C42+C43</f>
        <v>0</v>
      </c>
      <c r="D41" s="366">
        <f t="shared" ref="D41:E41" si="9">D42+D43</f>
        <v>6940337</v>
      </c>
      <c r="E41" s="366">
        <f t="shared" si="9"/>
        <v>2376123</v>
      </c>
      <c r="F41" s="367">
        <f t="shared" si="8"/>
        <v>34.236421084451663</v>
      </c>
      <c r="G41" s="31"/>
      <c r="H41" s="31"/>
      <c r="I41" s="31"/>
      <c r="J41" s="69"/>
      <c r="K41" s="254"/>
      <c r="L41" s="76"/>
      <c r="M41" s="76"/>
      <c r="N41" s="69"/>
      <c r="O41" s="76"/>
    </row>
    <row r="42" spans="1:15" s="48" customFormat="1" x14ac:dyDescent="0.2">
      <c r="A42" s="28" t="s">
        <v>109</v>
      </c>
      <c r="B42" s="328"/>
      <c r="C42" s="30">
        <f>0+0</f>
        <v>0</v>
      </c>
      <c r="D42" s="30">
        <v>6940337</v>
      </c>
      <c r="E42" s="30">
        <v>2376123</v>
      </c>
      <c r="F42" s="350">
        <f t="shared" si="8"/>
        <v>34.236421084451663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0" t="s">
        <v>107</v>
      </c>
      <c r="B43" s="330"/>
      <c r="C43" s="351">
        <v>0</v>
      </c>
      <c r="D43" s="351">
        <v>0</v>
      </c>
      <c r="E43" s="351">
        <v>0</v>
      </c>
      <c r="F43" s="304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5" t="s">
        <v>23</v>
      </c>
      <c r="B44" s="306">
        <v>11</v>
      </c>
      <c r="C44" s="352">
        <f>C45+C49</f>
        <v>52770</v>
      </c>
      <c r="D44" s="352">
        <f>D45+D49</f>
        <v>1628915</v>
      </c>
      <c r="E44" s="352">
        <f>E45+E49</f>
        <v>902218</v>
      </c>
      <c r="F44" s="349">
        <f t="shared" si="8"/>
        <v>55.38766602308899</v>
      </c>
      <c r="G44" s="251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7" t="s">
        <v>21</v>
      </c>
      <c r="B45" s="308"/>
      <c r="C45" s="353">
        <f>C46+C47+C48</f>
        <v>52770</v>
      </c>
      <c r="D45" s="353">
        <f t="shared" ref="D45:E45" si="10">D46+D47+D48</f>
        <v>840615</v>
      </c>
      <c r="E45" s="353">
        <f t="shared" si="10"/>
        <v>429243</v>
      </c>
      <c r="F45" s="350">
        <f t="shared" si="8"/>
        <v>51.062971752823827</v>
      </c>
      <c r="G45" s="257"/>
      <c r="H45" s="257"/>
      <c r="I45" s="257"/>
      <c r="J45" s="193"/>
      <c r="K45" s="254"/>
      <c r="L45" s="53"/>
      <c r="M45" s="53"/>
      <c r="N45" s="54"/>
      <c r="O45" s="53"/>
    </row>
    <row r="46" spans="1:15" s="32" customFormat="1" x14ac:dyDescent="0.2">
      <c r="A46" s="28" t="s">
        <v>109</v>
      </c>
      <c r="B46" s="308"/>
      <c r="C46" s="30">
        <v>1707</v>
      </c>
      <c r="D46" s="30">
        <v>789552</v>
      </c>
      <c r="E46" s="30">
        <v>424173</v>
      </c>
      <c r="F46" s="350">
        <f t="shared" si="8"/>
        <v>53.723250653535167</v>
      </c>
      <c r="G46" s="257"/>
      <c r="H46" s="257"/>
      <c r="I46" s="257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8"/>
      <c r="C47" s="30">
        <v>0</v>
      </c>
      <c r="D47" s="30">
        <v>0</v>
      </c>
      <c r="E47" s="30">
        <v>0</v>
      </c>
      <c r="F47" s="350">
        <v>0</v>
      </c>
      <c r="G47" s="257"/>
      <c r="H47" s="257"/>
      <c r="I47" s="257"/>
      <c r="J47" s="193"/>
      <c r="K47" s="55"/>
      <c r="L47" s="53"/>
      <c r="M47" s="53"/>
      <c r="N47" s="54"/>
      <c r="O47" s="53"/>
    </row>
    <row r="48" spans="1:15" s="32" customFormat="1" x14ac:dyDescent="0.2">
      <c r="A48" s="309" t="s">
        <v>110</v>
      </c>
      <c r="B48" s="308"/>
      <c r="C48" s="30">
        <v>51063</v>
      </c>
      <c r="D48" s="30">
        <v>51063</v>
      </c>
      <c r="E48" s="30">
        <v>5070</v>
      </c>
      <c r="F48" s="350">
        <f t="shared" si="8"/>
        <v>9.9289113448093538</v>
      </c>
      <c r="G48" s="257"/>
      <c r="H48" s="257"/>
      <c r="I48" s="257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6"/>
      <c r="C49" s="353">
        <f>C50+C51</f>
        <v>0</v>
      </c>
      <c r="D49" s="353">
        <f t="shared" ref="D49:E49" si="11">D50+D51</f>
        <v>788300</v>
      </c>
      <c r="E49" s="353">
        <f t="shared" si="11"/>
        <v>472975</v>
      </c>
      <c r="F49" s="350">
        <f t="shared" ref="F49:F50" si="12">(E49/D49)*100</f>
        <v>59.999365723709253</v>
      </c>
      <c r="G49" s="257"/>
      <c r="H49" s="257"/>
      <c r="I49" s="257"/>
      <c r="J49" s="193"/>
      <c r="K49" s="254"/>
      <c r="L49" s="78"/>
      <c r="M49" s="78"/>
      <c r="N49" s="79"/>
      <c r="O49" s="78"/>
    </row>
    <row r="50" spans="1:15" ht="15" customHeight="1" x14ac:dyDescent="0.2">
      <c r="A50" s="28" t="s">
        <v>109</v>
      </c>
      <c r="B50" s="306"/>
      <c r="C50" s="30">
        <v>0</v>
      </c>
      <c r="D50" s="30">
        <v>788300</v>
      </c>
      <c r="E50" s="30">
        <v>472975</v>
      </c>
      <c r="F50" s="350">
        <f t="shared" si="12"/>
        <v>59.999365723709253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6"/>
      <c r="C51" s="30">
        <v>0</v>
      </c>
      <c r="D51" s="30">
        <v>0</v>
      </c>
      <c r="E51" s="30">
        <v>0</v>
      </c>
      <c r="F51" s="304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1" t="s">
        <v>24</v>
      </c>
      <c r="B52" s="322">
        <v>12</v>
      </c>
      <c r="C52" s="348">
        <f>C53+C57</f>
        <v>62762</v>
      </c>
      <c r="D52" s="348">
        <f>D53+D57</f>
        <v>149629</v>
      </c>
      <c r="E52" s="348">
        <f>E53+E57</f>
        <v>5926</v>
      </c>
      <c r="F52" s="349">
        <f t="shared" si="8"/>
        <v>3.9604622098657347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7" t="s">
        <v>21</v>
      </c>
      <c r="B53" s="306"/>
      <c r="C53" s="353">
        <f>C54+C55+C56</f>
        <v>22040</v>
      </c>
      <c r="D53" s="353">
        <f>D54+D55+D56</f>
        <v>26495</v>
      </c>
      <c r="E53" s="353">
        <f t="shared" ref="E53" si="13">E54+E55+E56</f>
        <v>4439</v>
      </c>
      <c r="F53" s="350">
        <f t="shared" si="8"/>
        <v>16.754104548027929</v>
      </c>
      <c r="G53" s="257"/>
      <c r="H53" s="257"/>
      <c r="I53" s="257"/>
      <c r="J53" s="193"/>
      <c r="K53" s="254"/>
      <c r="L53" s="78"/>
      <c r="M53" s="78"/>
      <c r="N53" s="79"/>
      <c r="O53" s="78"/>
    </row>
    <row r="54" spans="1:15" ht="15" customHeight="1" x14ac:dyDescent="0.2">
      <c r="A54" s="28" t="s">
        <v>109</v>
      </c>
      <c r="B54" s="306"/>
      <c r="C54" s="30">
        <v>2040</v>
      </c>
      <c r="D54" s="30">
        <v>2095</v>
      </c>
      <c r="E54" s="30">
        <v>39</v>
      </c>
      <c r="F54" s="350">
        <f t="shared" si="8"/>
        <v>1.8615751789976134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6"/>
      <c r="C55" s="30">
        <v>0</v>
      </c>
      <c r="D55" s="30">
        <v>0</v>
      </c>
      <c r="E55" s="30">
        <v>0</v>
      </c>
      <c r="F55" s="350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09" t="s">
        <v>110</v>
      </c>
      <c r="B56" s="306"/>
      <c r="C56" s="30">
        <v>20000</v>
      </c>
      <c r="D56" s="30">
        <v>24400</v>
      </c>
      <c r="E56" s="30">
        <v>4400</v>
      </c>
      <c r="F56" s="350">
        <f t="shared" si="8"/>
        <v>18.032786885245901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6"/>
      <c r="C57" s="353">
        <f>C58+C59</f>
        <v>40722</v>
      </c>
      <c r="D57" s="353">
        <f t="shared" ref="D57:E57" si="14">D58+D59</f>
        <v>123134</v>
      </c>
      <c r="E57" s="353">
        <f t="shared" si="14"/>
        <v>1487</v>
      </c>
      <c r="F57" s="350">
        <f t="shared" si="8"/>
        <v>1.2076274627641432</v>
      </c>
      <c r="G57" s="257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6"/>
      <c r="C58" s="30">
        <v>0</v>
      </c>
      <c r="D58" s="30">
        <v>0</v>
      </c>
      <c r="E58" s="30">
        <v>0</v>
      </c>
      <c r="F58" s="350">
        <v>0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4" t="s">
        <v>107</v>
      </c>
      <c r="B59" s="335"/>
      <c r="C59" s="368">
        <v>40722</v>
      </c>
      <c r="D59" s="368">
        <v>123134</v>
      </c>
      <c r="E59" s="368">
        <v>1487</v>
      </c>
      <c r="F59" s="369">
        <f t="shared" si="8"/>
        <v>1.2076274627641432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2"/>
      <c r="C60" s="88"/>
      <c r="D60" s="88"/>
      <c r="E60" s="88"/>
      <c r="F60" s="333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8"/>
      <c r="B61" s="243"/>
      <c r="C61" s="299"/>
      <c r="D61" s="299"/>
      <c r="E61" s="299"/>
      <c r="F61" s="296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8" t="s">
        <v>9</v>
      </c>
      <c r="B62" s="269" t="s">
        <v>10</v>
      </c>
      <c r="C62" s="270" t="s">
        <v>11</v>
      </c>
      <c r="D62" s="270" t="s">
        <v>12</v>
      </c>
      <c r="E62" s="270" t="s">
        <v>4</v>
      </c>
      <c r="F62" s="271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6">
        <v>1</v>
      </c>
      <c r="B63" s="264">
        <v>2</v>
      </c>
      <c r="C63" s="264">
        <v>3</v>
      </c>
      <c r="D63" s="264">
        <v>4</v>
      </c>
      <c r="E63" s="264">
        <v>5</v>
      </c>
      <c r="F63" s="272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1" t="s">
        <v>111</v>
      </c>
      <c r="B64" s="322">
        <v>13</v>
      </c>
      <c r="C64" s="348">
        <f>SUM(C65:C67)</f>
        <v>200310</v>
      </c>
      <c r="D64" s="348">
        <f t="shared" ref="D64:E64" si="15">SUM(D65:D67)</f>
        <v>200369</v>
      </c>
      <c r="E64" s="348">
        <f t="shared" si="15"/>
        <v>65460</v>
      </c>
      <c r="F64" s="349">
        <f t="shared" ref="F64:F67" si="16">(E64/D64)*100</f>
        <v>32.669724358558462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109</v>
      </c>
      <c r="B65" s="306"/>
      <c r="C65" s="30">
        <f>200310-C67-C66</f>
        <v>22270</v>
      </c>
      <c r="D65" s="30">
        <f>200369-D67-D66</f>
        <v>22329</v>
      </c>
      <c r="E65" s="30">
        <f>65460-E67-E66</f>
        <v>14610</v>
      </c>
      <c r="F65" s="350">
        <f t="shared" si="16"/>
        <v>65.430605938465675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107</v>
      </c>
      <c r="B66" s="306"/>
      <c r="C66" s="30">
        <v>0</v>
      </c>
      <c r="D66" s="30">
        <v>0</v>
      </c>
      <c r="E66" s="30">
        <v>0</v>
      </c>
      <c r="F66" s="350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7" t="s">
        <v>110</v>
      </c>
      <c r="B67" s="320"/>
      <c r="C67" s="351">
        <v>178040</v>
      </c>
      <c r="D67" s="351">
        <v>178040</v>
      </c>
      <c r="E67" s="351">
        <v>50850</v>
      </c>
      <c r="F67" s="304">
        <f t="shared" si="16"/>
        <v>28.560997528645249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5" t="s">
        <v>25</v>
      </c>
      <c r="B68" s="306">
        <v>14</v>
      </c>
      <c r="C68" s="352">
        <f>C69+C73</f>
        <v>65285</v>
      </c>
      <c r="D68" s="352">
        <f>D69+D73</f>
        <v>85434</v>
      </c>
      <c r="E68" s="352">
        <f>E69+E73</f>
        <v>21979</v>
      </c>
      <c r="F68" s="349">
        <f t="shared" ref="F68:F103" si="17">(E68/D68)*100</f>
        <v>25.726291640330544</v>
      </c>
      <c r="G68" s="251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7" t="s">
        <v>21</v>
      </c>
      <c r="B69" s="308"/>
      <c r="C69" s="353">
        <f>C70+C71+C72</f>
        <v>65285</v>
      </c>
      <c r="D69" s="353">
        <f t="shared" ref="D69:E69" si="18">D70+D71+D72</f>
        <v>81303</v>
      </c>
      <c r="E69" s="353">
        <f t="shared" si="18"/>
        <v>17863</v>
      </c>
      <c r="F69" s="350">
        <f t="shared" si="17"/>
        <v>21.970898982817364</v>
      </c>
      <c r="G69" s="257"/>
      <c r="H69" s="257"/>
      <c r="I69" s="257"/>
      <c r="J69" s="193"/>
      <c r="K69" s="254"/>
      <c r="L69" s="53"/>
      <c r="M69" s="53"/>
      <c r="N69" s="54"/>
      <c r="O69" s="53"/>
    </row>
    <row r="70" spans="1:15" s="32" customFormat="1" x14ac:dyDescent="0.2">
      <c r="A70" s="28" t="s">
        <v>109</v>
      </c>
      <c r="B70" s="308"/>
      <c r="C70" s="30">
        <v>51610</v>
      </c>
      <c r="D70" s="30">
        <v>67628</v>
      </c>
      <c r="E70" s="30">
        <v>17863</v>
      </c>
      <c r="F70" s="350">
        <f>(E70/D70)*100</f>
        <v>26.413615662151773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107</v>
      </c>
      <c r="B71" s="308"/>
      <c r="C71" s="30">
        <v>0</v>
      </c>
      <c r="D71" s="30">
        <v>0</v>
      </c>
      <c r="E71" s="30">
        <v>0</v>
      </c>
      <c r="F71" s="350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09" t="s">
        <v>110</v>
      </c>
      <c r="B72" s="308"/>
      <c r="C72" s="30">
        <v>13675</v>
      </c>
      <c r="D72" s="30">
        <v>13675</v>
      </c>
      <c r="E72" s="30">
        <v>0</v>
      </c>
      <c r="F72" s="350">
        <f t="shared" si="17"/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08"/>
      <c r="C73" s="353">
        <f>C74+C75</f>
        <v>0</v>
      </c>
      <c r="D73" s="353">
        <f t="shared" ref="D73:E73" si="19">D74+D75</f>
        <v>4131</v>
      </c>
      <c r="E73" s="353">
        <f t="shared" si="19"/>
        <v>4116</v>
      </c>
      <c r="F73" s="354">
        <f>(E73/D73)*100</f>
        <v>99.636891793754529</v>
      </c>
      <c r="G73" s="257"/>
      <c r="H73" s="257"/>
      <c r="I73" s="257"/>
      <c r="J73" s="193"/>
      <c r="K73" s="254"/>
      <c r="L73" s="53"/>
      <c r="M73" s="53"/>
      <c r="N73" s="54"/>
      <c r="O73" s="53"/>
    </row>
    <row r="74" spans="1:15" s="32" customFormat="1" x14ac:dyDescent="0.2">
      <c r="A74" s="28" t="s">
        <v>109</v>
      </c>
      <c r="B74" s="308"/>
      <c r="C74" s="30">
        <v>0</v>
      </c>
      <c r="D74" s="30">
        <v>2134</v>
      </c>
      <c r="E74" s="30">
        <v>2119</v>
      </c>
      <c r="F74" s="354">
        <f t="shared" ref="F74:F75" si="20">(E74/D74)*100</f>
        <v>99.297094657919402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10" t="s">
        <v>107</v>
      </c>
      <c r="B75" s="311"/>
      <c r="C75" s="351">
        <v>0</v>
      </c>
      <c r="D75" s="351">
        <v>1997</v>
      </c>
      <c r="E75" s="351">
        <v>1997</v>
      </c>
      <c r="F75" s="355">
        <f t="shared" si="20"/>
        <v>100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5" t="s">
        <v>26</v>
      </c>
      <c r="B76" s="306">
        <v>16</v>
      </c>
      <c r="C76" s="352">
        <v>0</v>
      </c>
      <c r="D76" s="352">
        <v>0</v>
      </c>
      <c r="E76" s="352">
        <v>0</v>
      </c>
      <c r="F76" s="349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2" t="s">
        <v>100</v>
      </c>
      <c r="B77" s="313">
        <v>17</v>
      </c>
      <c r="C77" s="348">
        <f>C78+C79</f>
        <v>313040</v>
      </c>
      <c r="D77" s="348">
        <f t="shared" ref="D77:E77" si="21">D78+D79</f>
        <v>365512</v>
      </c>
      <c r="E77" s="348">
        <f t="shared" si="21"/>
        <v>36986</v>
      </c>
      <c r="F77" s="356">
        <f t="shared" si="17"/>
        <v>10.118956422771346</v>
      </c>
      <c r="G77" s="251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109</v>
      </c>
      <c r="B78" s="37"/>
      <c r="C78" s="30">
        <v>25791</v>
      </c>
      <c r="D78" s="30">
        <v>39335</v>
      </c>
      <c r="E78" s="30">
        <v>2326</v>
      </c>
      <c r="F78" s="350">
        <f t="shared" si="17"/>
        <v>5.9133087581034705</v>
      </c>
      <c r="G78" s="31"/>
      <c r="H78" s="31"/>
      <c r="I78" s="31"/>
      <c r="J78" s="193"/>
      <c r="K78" s="55"/>
      <c r="L78" s="77"/>
      <c r="M78" s="258"/>
      <c r="N78" s="44"/>
      <c r="O78" s="77"/>
    </row>
    <row r="79" spans="1:15" s="35" customFormat="1" x14ac:dyDescent="0.2">
      <c r="A79" s="310" t="s">
        <v>107</v>
      </c>
      <c r="B79" s="314"/>
      <c r="C79" s="351">
        <v>287249</v>
      </c>
      <c r="D79" s="351">
        <v>326177</v>
      </c>
      <c r="E79" s="351">
        <v>34660</v>
      </c>
      <c r="F79" s="304">
        <f t="shared" si="17"/>
        <v>10.626132437296315</v>
      </c>
      <c r="G79" s="31"/>
      <c r="H79" s="31"/>
      <c r="I79" s="31"/>
      <c r="J79" s="193"/>
      <c r="K79" s="55"/>
      <c r="L79" s="77"/>
      <c r="M79" s="259"/>
      <c r="N79" s="44"/>
      <c r="O79" s="77"/>
    </row>
    <row r="80" spans="1:15" s="35" customFormat="1" ht="15" x14ac:dyDescent="0.25">
      <c r="A80" s="315" t="s">
        <v>101</v>
      </c>
      <c r="B80" s="316">
        <v>18</v>
      </c>
      <c r="C80" s="352">
        <f>C81+C82+C83</f>
        <v>92256</v>
      </c>
      <c r="D80" s="352">
        <f t="shared" ref="D80:E80" si="22">D81+D82+D83</f>
        <v>117813</v>
      </c>
      <c r="E80" s="352">
        <f t="shared" si="22"/>
        <v>12742</v>
      </c>
      <c r="F80" s="349">
        <f t="shared" si="17"/>
        <v>10.815444815088318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109</v>
      </c>
      <c r="B81" s="37"/>
      <c r="C81" s="30">
        <f>66656+6000</f>
        <v>72656</v>
      </c>
      <c r="D81" s="30">
        <f>74191+6000</f>
        <v>80191</v>
      </c>
      <c r="E81" s="30">
        <v>11042</v>
      </c>
      <c r="F81" s="350">
        <f>(E81/D81)*100</f>
        <v>13.769625020264121</v>
      </c>
      <c r="G81" s="31"/>
      <c r="H81" s="31"/>
      <c r="I81" s="31"/>
      <c r="J81" s="193"/>
      <c r="K81" s="55"/>
      <c r="L81" s="77"/>
      <c r="M81" s="258"/>
      <c r="N81" s="44"/>
      <c r="O81" s="77"/>
    </row>
    <row r="82" spans="1:15" s="35" customFormat="1" x14ac:dyDescent="0.2">
      <c r="A82" s="28" t="s">
        <v>107</v>
      </c>
      <c r="B82" s="37"/>
      <c r="C82" s="30">
        <v>0</v>
      </c>
      <c r="D82" s="30">
        <v>14632</v>
      </c>
      <c r="E82" s="30">
        <v>1700</v>
      </c>
      <c r="F82" s="350">
        <f>(E82/D82)*100</f>
        <v>11.618370694368508</v>
      </c>
      <c r="G82" s="31"/>
      <c r="H82" s="31"/>
      <c r="I82" s="31"/>
      <c r="J82" s="54"/>
      <c r="K82" s="55"/>
      <c r="L82" s="77"/>
      <c r="M82" s="259"/>
      <c r="N82" s="44"/>
      <c r="O82" s="77"/>
    </row>
    <row r="83" spans="1:15" s="35" customFormat="1" x14ac:dyDescent="0.2">
      <c r="A83" s="317" t="s">
        <v>110</v>
      </c>
      <c r="B83" s="311"/>
      <c r="C83" s="351">
        <v>19600</v>
      </c>
      <c r="D83" s="351">
        <v>22990</v>
      </c>
      <c r="E83" s="351">
        <v>0</v>
      </c>
      <c r="F83" s="304">
        <f>(E83/D83)*100</f>
        <v>0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18" t="s">
        <v>85</v>
      </c>
      <c r="B84" s="316">
        <v>19</v>
      </c>
      <c r="C84" s="352">
        <f>C85+C88</f>
        <v>3582306</v>
      </c>
      <c r="D84" s="352">
        <f>D85+D88</f>
        <v>3639412</v>
      </c>
      <c r="E84" s="352">
        <f>E85+E88</f>
        <v>1090830</v>
      </c>
      <c r="F84" s="349">
        <f t="shared" si="17"/>
        <v>29.972698886523432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7" t="s">
        <v>21</v>
      </c>
      <c r="B85" s="308"/>
      <c r="C85" s="353">
        <f>C86+C87</f>
        <v>70485</v>
      </c>
      <c r="D85" s="353">
        <f>D86+D87</f>
        <v>70485</v>
      </c>
      <c r="E85" s="353">
        <f>E86+E87</f>
        <v>17440</v>
      </c>
      <c r="F85" s="354">
        <f>(E85/D85)*100</f>
        <v>24.742853089309783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109</v>
      </c>
      <c r="B86" s="308"/>
      <c r="C86" s="30">
        <v>70485</v>
      </c>
      <c r="D86" s="30">
        <v>70485</v>
      </c>
      <c r="E86" s="30">
        <v>17440</v>
      </c>
      <c r="F86" s="350">
        <f>(E86/D86)*100</f>
        <v>24.742853089309783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107</v>
      </c>
      <c r="B87" s="308"/>
      <c r="C87" s="30">
        <v>0</v>
      </c>
      <c r="D87" s="30">
        <v>0</v>
      </c>
      <c r="E87" s="30">
        <v>0</v>
      </c>
      <c r="F87" s="350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08"/>
      <c r="C88" s="353">
        <f>C89+C90</f>
        <v>3511821</v>
      </c>
      <c r="D88" s="353">
        <f>D89+D90</f>
        <v>3568927</v>
      </c>
      <c r="E88" s="353">
        <f>E89+E90</f>
        <v>1073390</v>
      </c>
      <c r="F88" s="354">
        <f t="shared" si="17"/>
        <v>30.075986423930779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08"/>
      <c r="C89" s="30">
        <v>3455458</v>
      </c>
      <c r="D89" s="30">
        <v>3495145</v>
      </c>
      <c r="E89" s="30">
        <v>1070575</v>
      </c>
      <c r="F89" s="350">
        <f t="shared" si="17"/>
        <v>30.63034580825688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107</v>
      </c>
      <c r="B90" s="311"/>
      <c r="C90" s="351">
        <v>56363</v>
      </c>
      <c r="D90" s="351">
        <v>73782</v>
      </c>
      <c r="E90" s="351">
        <v>2815</v>
      </c>
      <c r="F90" s="304">
        <f t="shared" si="17"/>
        <v>3.8152937030712097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19" t="s">
        <v>91</v>
      </c>
      <c r="B91" s="320">
        <v>20</v>
      </c>
      <c r="C91" s="357">
        <v>513</v>
      </c>
      <c r="D91" s="357">
        <v>513</v>
      </c>
      <c r="E91" s="357">
        <v>0</v>
      </c>
      <c r="F91" s="344">
        <f t="shared" si="17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5" t="s">
        <v>27</v>
      </c>
      <c r="B92" s="306" t="s">
        <v>126</v>
      </c>
      <c r="C92" s="352">
        <f>SUM(C93:C95)</f>
        <v>682207</v>
      </c>
      <c r="D92" s="352">
        <f t="shared" ref="D92:E92" si="23">SUM(D93:D95)</f>
        <v>899282</v>
      </c>
      <c r="E92" s="352">
        <f t="shared" si="23"/>
        <v>250518</v>
      </c>
      <c r="F92" s="349">
        <f t="shared" si="17"/>
        <v>27.857557473628962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109</v>
      </c>
      <c r="B93" s="306"/>
      <c r="C93" s="30">
        <f>24538-C95</f>
        <v>24538</v>
      </c>
      <c r="D93" s="30">
        <f>131701-D95</f>
        <v>131701</v>
      </c>
      <c r="E93" s="30">
        <f>192621-E95</f>
        <v>43133</v>
      </c>
      <c r="F93" s="350">
        <f t="shared" si="17"/>
        <v>32.750700450262336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107</v>
      </c>
      <c r="B94" s="306"/>
      <c r="C94" s="30">
        <v>657669</v>
      </c>
      <c r="D94" s="30">
        <v>767581</v>
      </c>
      <c r="E94" s="30">
        <v>57897</v>
      </c>
      <c r="F94" s="350">
        <f t="shared" si="17"/>
        <v>7.5427870153117391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09" t="s">
        <v>108</v>
      </c>
      <c r="B95" s="306"/>
      <c r="C95" s="30">
        <v>0</v>
      </c>
      <c r="D95" s="30">
        <v>0</v>
      </c>
      <c r="E95" s="30">
        <v>149488</v>
      </c>
      <c r="F95" s="304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1" t="s">
        <v>44</v>
      </c>
      <c r="B96" s="322">
        <v>99</v>
      </c>
      <c r="C96" s="348">
        <f>+C99+C97+C98</f>
        <v>34300</v>
      </c>
      <c r="D96" s="348">
        <f t="shared" ref="D96:E96" si="24">+D99+D97+D98</f>
        <v>34300</v>
      </c>
      <c r="E96" s="348">
        <f t="shared" si="24"/>
        <v>0</v>
      </c>
      <c r="F96" s="349">
        <f t="shared" si="17"/>
        <v>0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6"/>
      <c r="C97" s="30">
        <v>0</v>
      </c>
      <c r="D97" s="30">
        <v>0</v>
      </c>
      <c r="E97" s="30">
        <v>0</v>
      </c>
      <c r="F97" s="350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6"/>
      <c r="C98" s="30">
        <v>0</v>
      </c>
      <c r="D98" s="30">
        <v>0</v>
      </c>
      <c r="E98" s="30">
        <v>0</v>
      </c>
      <c r="F98" s="350">
        <v>0</v>
      </c>
      <c r="G98" s="31"/>
      <c r="H98" s="31"/>
      <c r="I98" s="31"/>
      <c r="J98" s="193"/>
      <c r="K98" s="55"/>
      <c r="L98" s="77"/>
      <c r="M98" s="260"/>
      <c r="N98" s="44"/>
      <c r="O98" s="77"/>
    </row>
    <row r="99" spans="1:15" s="35" customFormat="1" x14ac:dyDescent="0.2">
      <c r="A99" s="317" t="s">
        <v>110</v>
      </c>
      <c r="B99" s="320"/>
      <c r="C99" s="351">
        <v>34300</v>
      </c>
      <c r="D99" s="351">
        <v>34300</v>
      </c>
      <c r="E99" s="351">
        <v>0</v>
      </c>
      <c r="F99" s="304">
        <f t="shared" si="17"/>
        <v>0</v>
      </c>
      <c r="G99" s="31"/>
      <c r="H99" s="31"/>
      <c r="I99" s="31"/>
      <c r="J99" s="193"/>
      <c r="K99" s="55"/>
      <c r="L99" s="77"/>
      <c r="M99" s="260"/>
      <c r="N99" s="44"/>
      <c r="O99" s="77"/>
    </row>
    <row r="100" spans="1:15" s="35" customFormat="1" ht="15" x14ac:dyDescent="0.25">
      <c r="A100" s="323" t="s">
        <v>28</v>
      </c>
      <c r="B100" s="306">
        <v>199</v>
      </c>
      <c r="C100" s="352">
        <f>C101</f>
        <v>11062</v>
      </c>
      <c r="D100" s="352">
        <f>D101</f>
        <v>11062</v>
      </c>
      <c r="E100" s="352">
        <f>E101</f>
        <v>2681</v>
      </c>
      <c r="F100" s="349">
        <f t="shared" si="17"/>
        <v>24.236123666606399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109</v>
      </c>
      <c r="B101" s="306"/>
      <c r="C101" s="30">
        <v>11062</v>
      </c>
      <c r="D101" s="30">
        <v>11062</v>
      </c>
      <c r="E101" s="30">
        <v>2681</v>
      </c>
      <c r="F101" s="350">
        <f t="shared" si="17"/>
        <v>24.236123666606399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107</v>
      </c>
      <c r="B102" s="320"/>
      <c r="C102" s="351">
        <v>0</v>
      </c>
      <c r="D102" s="351">
        <v>0</v>
      </c>
      <c r="E102" s="351">
        <v>0</v>
      </c>
      <c r="F102" s="350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517" t="s">
        <v>29</v>
      </c>
      <c r="B103" s="518"/>
      <c r="C103" s="85">
        <f>C6+C10+C14+C20+C25+C29+C33+C44+C52+C68+C84+C76+C77+C92+C96+C100+C80+C91+C64+C17</f>
        <v>5967109</v>
      </c>
      <c r="D103" s="85">
        <f>D6+D10+D14+D20+D25+D29+D33+D44+D52+D68+D84+D76+D77+D92+D96+D100+D80+D91+D64+D17</f>
        <v>18568825</v>
      </c>
      <c r="E103" s="85">
        <f>E6+E10+E14+E20+E25+E29+E33+E44+E52+E68+E84+E76+E77+E92+E96+E100+E80+E91+E64+E17</f>
        <v>11119347</v>
      </c>
      <c r="F103" s="344">
        <f t="shared" si="17"/>
        <v>59.881801891072804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2" t="s">
        <v>112</v>
      </c>
      <c r="B104" s="303"/>
      <c r="C104" s="30">
        <f>C95+C24+C13+C9</f>
        <v>11058</v>
      </c>
      <c r="D104" s="30">
        <f>D95+D24+D13+D9</f>
        <v>11058</v>
      </c>
      <c r="E104" s="30">
        <f>E95+E24+E13+E9</f>
        <v>5218911</v>
      </c>
      <c r="F104" s="304">
        <f>(E104/D104)*100</f>
        <v>47195.794899620181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5956051</v>
      </c>
      <c r="D105" s="84">
        <f>D103-D104</f>
        <v>18557767</v>
      </c>
      <c r="E105" s="84">
        <f>E103-E104</f>
        <v>5900436</v>
      </c>
      <c r="F105" s="345">
        <f>(E105/D105)*100</f>
        <v>31.794967573415491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513" t="s">
        <v>125</v>
      </c>
      <c r="B106" s="513"/>
      <c r="C106" s="513"/>
      <c r="D106" s="513"/>
      <c r="E106" s="513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513"/>
      <c r="B107" s="513"/>
      <c r="C107" s="513"/>
      <c r="D107" s="513"/>
      <c r="E107" s="513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6" t="s">
        <v>0</v>
      </c>
      <c r="J111" s="52"/>
    </row>
    <row r="112" spans="1:15" ht="25.5" customHeight="1" thickTop="1" thickBot="1" x14ac:dyDescent="0.25">
      <c r="A112" s="526" t="s">
        <v>92</v>
      </c>
      <c r="B112" s="527"/>
      <c r="C112" s="273" t="s">
        <v>11</v>
      </c>
      <c r="D112" s="273" t="s">
        <v>12</v>
      </c>
      <c r="E112" s="273" t="s">
        <v>4</v>
      </c>
      <c r="F112" s="274" t="s">
        <v>5</v>
      </c>
      <c r="J112" s="52"/>
    </row>
    <row r="113" spans="1:14" ht="15.75" thickTop="1" thickBot="1" x14ac:dyDescent="0.25">
      <c r="A113" s="526">
        <v>1</v>
      </c>
      <c r="B113" s="527"/>
      <c r="C113" s="273">
        <v>2</v>
      </c>
      <c r="D113" s="273">
        <v>3</v>
      </c>
      <c r="E113" s="273">
        <v>4</v>
      </c>
      <c r="F113" s="272" t="s">
        <v>96</v>
      </c>
      <c r="J113" s="52"/>
      <c r="K113" s="17"/>
      <c r="N113" s="17"/>
    </row>
    <row r="114" spans="1:14" ht="15" thickTop="1" x14ac:dyDescent="0.2">
      <c r="A114" s="528" t="s">
        <v>113</v>
      </c>
      <c r="B114" s="529"/>
      <c r="C114" s="300">
        <f>C101+C97+C93+C89+C86+C81+C78+C74+C70+C65+C58+C54+C50+C46+C42+C39+C35+C30+C26+C21+C18+C15+C11+C7+C91+C76+372757</f>
        <v>4808116</v>
      </c>
      <c r="D114" s="300">
        <f>D101+D97+D93+D89+D86+D81+D78+D74+D70+D65+D58+D54+D50+D46+D42+D39+D35+D30+D26+D21+D18+D15+D11+D7+D91+D76+356043</f>
        <v>17120328</v>
      </c>
      <c r="E114" s="300">
        <f>E101+E97+E93+E89+E86+E81+E78+E74+E70+E65+E58+E54+E50+E46+E42+E39+E35+E30+E26+E21+E18+E15+E11+E7+E91+E76+50850</f>
        <v>5783756</v>
      </c>
      <c r="F114" s="301">
        <f>E114/D114*100</f>
        <v>33.782974251427895</v>
      </c>
      <c r="J114" s="52"/>
      <c r="K114" s="17"/>
      <c r="N114" s="17"/>
    </row>
    <row r="115" spans="1:14" ht="12" customHeight="1" x14ac:dyDescent="0.2">
      <c r="A115" s="530" t="s">
        <v>114</v>
      </c>
      <c r="B115" s="531"/>
      <c r="C115" s="241">
        <f>C102+C98+C90+C87+C82+C79+C75+C71+C66+C59+C55+C51+C47+C43+C40+C36+C31+C27+C22+C19+C16+C12+C8+C94+101050</f>
        <v>1147935</v>
      </c>
      <c r="D115" s="241">
        <f>D102+D98+D90+D87+D82+D79+D75+D71+D66+D59+D55+D51+D47+D43+D40+D36+D31+D27+D22+D19+D16+D12+D8+D94+121154</f>
        <v>1437439</v>
      </c>
      <c r="E115" s="241">
        <f>E102+E98+E90+E87+E82+E79+E75+E71+E66+E59+E55+E51+E47+E43+E40+E36+E31+E27+E22+E19+E16+E12+E8+E94+15270</f>
        <v>116680</v>
      </c>
      <c r="F115" s="242">
        <f>E115/D115*100</f>
        <v>8.1172140174296104</v>
      </c>
      <c r="J115" s="52"/>
      <c r="K115" s="17"/>
      <c r="N115" s="17"/>
    </row>
    <row r="116" spans="1:14" hidden="1" x14ac:dyDescent="0.2">
      <c r="A116" s="532" t="s">
        <v>110</v>
      </c>
      <c r="B116" s="533"/>
      <c r="C116" s="362"/>
      <c r="D116" s="362"/>
      <c r="E116" s="362"/>
      <c r="F116" s="363" t="e">
        <f>E116/D116*100</f>
        <v>#DIV/0!</v>
      </c>
      <c r="J116" s="52"/>
      <c r="K116" s="17"/>
      <c r="N116" s="17"/>
    </row>
    <row r="117" spans="1:14" ht="15" thickBot="1" x14ac:dyDescent="0.25">
      <c r="A117" s="522" t="s">
        <v>112</v>
      </c>
      <c r="B117" s="523"/>
      <c r="C117" s="346">
        <f>C104</f>
        <v>11058</v>
      </c>
      <c r="D117" s="346">
        <f>D104</f>
        <v>11058</v>
      </c>
      <c r="E117" s="346">
        <f>E104</f>
        <v>5218911</v>
      </c>
      <c r="F117" s="347">
        <f>(E117/D117)*100</f>
        <v>47195.794899620181</v>
      </c>
      <c r="J117" s="52"/>
      <c r="K117" s="17"/>
      <c r="N117" s="17"/>
    </row>
    <row r="118" spans="1:14" ht="15" customHeight="1" thickTop="1" x14ac:dyDescent="0.2">
      <c r="A118" s="524" t="s">
        <v>123</v>
      </c>
      <c r="B118" s="525"/>
      <c r="C118" s="340">
        <f>C114+C115+C116+C117</f>
        <v>5967109</v>
      </c>
      <c r="D118" s="340">
        <f t="shared" ref="D118:E118" si="25">D114+D115+D116+D117</f>
        <v>18568825</v>
      </c>
      <c r="E118" s="340">
        <f t="shared" si="25"/>
        <v>11119347</v>
      </c>
      <c r="F118" s="341">
        <f>(E118/D118)*100</f>
        <v>59.881801891072804</v>
      </c>
      <c r="J118" s="52"/>
      <c r="K118" s="17"/>
      <c r="N118" s="17"/>
    </row>
    <row r="119" spans="1:14" x14ac:dyDescent="0.2">
      <c r="A119" s="515" t="s">
        <v>112</v>
      </c>
      <c r="B119" s="516"/>
      <c r="C119" s="342">
        <f>C117</f>
        <v>11058</v>
      </c>
      <c r="D119" s="342">
        <f t="shared" ref="D119" si="26">D117</f>
        <v>11058</v>
      </c>
      <c r="E119" s="342">
        <f>E117</f>
        <v>5218911</v>
      </c>
      <c r="F119" s="343">
        <f>(E119/D119)*100</f>
        <v>47195.794899620181</v>
      </c>
      <c r="H119" s="56"/>
      <c r="I119" s="56"/>
      <c r="J119" s="56"/>
      <c r="K119" s="17"/>
      <c r="N119" s="17"/>
    </row>
    <row r="120" spans="1:14" ht="15.75" thickBot="1" x14ac:dyDescent="0.3">
      <c r="A120" s="337" t="s">
        <v>124</v>
      </c>
      <c r="B120" s="338"/>
      <c r="C120" s="339">
        <f>C118-C119</f>
        <v>5956051</v>
      </c>
      <c r="D120" s="339">
        <f>D118-D119</f>
        <v>18557767</v>
      </c>
      <c r="E120" s="339">
        <f>E118-E119</f>
        <v>5900436</v>
      </c>
      <c r="F120" s="336">
        <f>(E120/D120)*100</f>
        <v>31.794967573415491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21. 6. 2021
12.2. - Rozpočet Olomouckého kraje 2021 - plnění rozpočtu k 31. 3. 2021
Příloha č.2 - Plnění rozpočtu Olomouckého kraje k 31. 3. 2021&amp;R&amp;"Arial,Kurzíva"Strana &amp;P (Celkem 8)
</oddFooter>
  </headerFooter>
  <rowBreaks count="1" manualBreakCount="1">
    <brk id="60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sqref="A1:E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4" t="s">
        <v>133</v>
      </c>
      <c r="B1" s="514"/>
      <c r="C1" s="514"/>
      <c r="D1" s="514"/>
      <c r="E1" s="514"/>
    </row>
    <row r="3" spans="1:7" x14ac:dyDescent="0.2">
      <c r="A3" s="509" t="s">
        <v>98</v>
      </c>
      <c r="B3" s="509"/>
      <c r="C3" s="509"/>
      <c r="D3" s="509"/>
      <c r="E3" s="509"/>
    </row>
    <row r="4" spans="1:7" ht="30.75" customHeight="1" x14ac:dyDescent="0.2">
      <c r="A4" s="509"/>
      <c r="B4" s="509"/>
      <c r="C4" s="509"/>
      <c r="D4" s="509"/>
      <c r="E4" s="509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8" t="s">
        <v>89</v>
      </c>
      <c r="B7" s="269" t="s">
        <v>11</v>
      </c>
      <c r="C7" s="270" t="s">
        <v>12</v>
      </c>
      <c r="D7" s="270" t="s">
        <v>4</v>
      </c>
      <c r="E7" s="270" t="s">
        <v>5</v>
      </c>
      <c r="F7" s="13"/>
      <c r="G7" s="13"/>
    </row>
    <row r="8" spans="1:7" ht="14.25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4" t="s">
        <v>6</v>
      </c>
      <c r="F8" s="13"/>
      <c r="G8" s="13"/>
    </row>
    <row r="9" spans="1:7" ht="15" hidden="1" thickTop="1" x14ac:dyDescent="0.2">
      <c r="A9" s="246" t="s">
        <v>115</v>
      </c>
      <c r="B9" s="247">
        <v>0</v>
      </c>
      <c r="C9" s="248">
        <v>0</v>
      </c>
      <c r="D9" s="248">
        <v>0</v>
      </c>
      <c r="E9" s="80" t="e">
        <f>(D9/C9)*100</f>
        <v>#DIV/0!</v>
      </c>
      <c r="F9" s="13"/>
      <c r="G9" s="13"/>
    </row>
    <row r="10" spans="1:7" ht="29.25" thickTop="1" x14ac:dyDescent="0.2">
      <c r="A10" s="244" t="s">
        <v>116</v>
      </c>
      <c r="B10" s="249">
        <v>121000</v>
      </c>
      <c r="C10" s="245">
        <v>570023</v>
      </c>
      <c r="D10" s="245">
        <v>-438265</v>
      </c>
      <c r="E10" s="237">
        <f>(D10/C10)*100</f>
        <v>-76.885494094097965</v>
      </c>
      <c r="F10" s="13"/>
      <c r="G10" s="13"/>
    </row>
    <row r="11" spans="1:7" ht="28.5" hidden="1" x14ac:dyDescent="0.2">
      <c r="A11" s="244" t="s">
        <v>120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122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121</v>
      </c>
      <c r="B13" s="249">
        <v>500000</v>
      </c>
      <c r="C13" s="245">
        <v>500000</v>
      </c>
      <c r="D13" s="245">
        <v>100000</v>
      </c>
      <c r="E13" s="237">
        <f t="shared" ref="E13" si="0">(D13/C13)*100</f>
        <v>20</v>
      </c>
      <c r="F13" s="13"/>
      <c r="G13" s="13"/>
    </row>
    <row r="14" spans="1:7" ht="15" x14ac:dyDescent="0.25">
      <c r="A14" s="223" t="s">
        <v>117</v>
      </c>
      <c r="B14" s="227">
        <v>-521341</v>
      </c>
      <c r="C14" s="232">
        <v>-585027</v>
      </c>
      <c r="D14" s="232">
        <v>-80352</v>
      </c>
      <c r="E14" s="237">
        <f>(D14/C14)*100</f>
        <v>13.73475070381367</v>
      </c>
      <c r="F14" s="27"/>
      <c r="G14" s="13"/>
    </row>
    <row r="15" spans="1:7" ht="43.5" x14ac:dyDescent="0.25">
      <c r="A15" s="370" t="s">
        <v>134</v>
      </c>
      <c r="B15" s="371">
        <v>0</v>
      </c>
      <c r="C15" s="372">
        <v>0</v>
      </c>
      <c r="D15" s="372">
        <v>547</v>
      </c>
      <c r="E15" s="261"/>
      <c r="F15" s="27"/>
      <c r="G15" s="13"/>
    </row>
    <row r="16" spans="1:7" ht="16.5" thickBot="1" x14ac:dyDescent="0.3">
      <c r="A16" s="238" t="s">
        <v>90</v>
      </c>
      <c r="B16" s="239">
        <f>SUM(B9:B15)</f>
        <v>99659</v>
      </c>
      <c r="C16" s="239">
        <f>SUM(C9:C15)</f>
        <v>484996</v>
      </c>
      <c r="D16" s="239">
        <f>SUM(D9:D15)</f>
        <v>-418070</v>
      </c>
      <c r="E16" s="240">
        <f>(D16/C16)*100</f>
        <v>-86.200710933698417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21. 6. 2021
12.2. - Rozpočet Olomouckého kraje 2021 - plnění rozpočtu k 31. 3. 2021
Příloha č. 2 - Plnění rozpočtu Olomouckého kraje k 31. 3. 2021&amp;R&amp;"Arial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sqref="A1:H1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537" t="s">
        <v>132</v>
      </c>
      <c r="B1" s="537"/>
      <c r="C1" s="537"/>
      <c r="D1" s="537"/>
      <c r="E1" s="537"/>
      <c r="F1" s="537"/>
      <c r="G1" s="537"/>
      <c r="H1" s="537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538" t="s">
        <v>73</v>
      </c>
      <c r="H4" s="538"/>
    </row>
    <row r="5" spans="1:21" s="93" customFormat="1" ht="14.25" customHeight="1" thickTop="1" thickBot="1" x14ac:dyDescent="0.25">
      <c r="A5" s="275"/>
      <c r="B5" s="276"/>
      <c r="C5" s="276"/>
      <c r="D5" s="277"/>
      <c r="E5" s="264" t="s">
        <v>11</v>
      </c>
      <c r="F5" s="264" t="s">
        <v>12</v>
      </c>
      <c r="G5" s="264" t="s">
        <v>4</v>
      </c>
      <c r="H5" s="267" t="s">
        <v>5</v>
      </c>
    </row>
    <row r="6" spans="1:21" s="93" customFormat="1" ht="14.25" customHeight="1" thickTop="1" thickBot="1" x14ac:dyDescent="0.25">
      <c r="A6" s="534">
        <v>1</v>
      </c>
      <c r="B6" s="535"/>
      <c r="C6" s="535"/>
      <c r="D6" s="536"/>
      <c r="E6" s="278">
        <v>2</v>
      </c>
      <c r="F6" s="278">
        <v>3</v>
      </c>
      <c r="G6" s="278">
        <v>4</v>
      </c>
      <c r="H6" s="279" t="s">
        <v>96</v>
      </c>
    </row>
    <row r="7" spans="1:21" s="96" customFormat="1" ht="19.5" thickTop="1" x14ac:dyDescent="0.4">
      <c r="A7" s="280" t="s">
        <v>38</v>
      </c>
      <c r="B7" s="281"/>
      <c r="C7" s="281"/>
      <c r="D7" s="282"/>
      <c r="E7" s="283">
        <f>'Příjmy OK - příloha č. 2'!B15</f>
        <v>5856392</v>
      </c>
      <c r="F7" s="283">
        <f>'Příjmy OK - příloha č. 2'!C15</f>
        <v>18072771</v>
      </c>
      <c r="G7" s="283">
        <f>'Příjmy OK - příloha č. 2'!D15</f>
        <v>6318506</v>
      </c>
      <c r="H7" s="284">
        <f>(G7/F7)*100</f>
        <v>34.961467724014213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5" t="s">
        <v>39</v>
      </c>
      <c r="B8" s="286"/>
      <c r="C8" s="286"/>
      <c r="D8" s="287"/>
      <c r="E8" s="288">
        <f>'Výdaje OK - příloha č. 2'!C105</f>
        <v>5956051</v>
      </c>
      <c r="F8" s="288">
        <f>'Výdaje OK - příloha č. 2'!D105</f>
        <v>18557767</v>
      </c>
      <c r="G8" s="288">
        <f>'Výdaje OK - příloha č. 2'!E105</f>
        <v>5900436</v>
      </c>
      <c r="H8" s="289">
        <f>(G8/F8)*100</f>
        <v>31.794967573415491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5" t="s">
        <v>89</v>
      </c>
      <c r="B9" s="286"/>
      <c r="C9" s="286"/>
      <c r="D9" s="287"/>
      <c r="E9" s="288">
        <f>'Financování OK - příloha č. 2'!B16</f>
        <v>99659</v>
      </c>
      <c r="F9" s="288">
        <f>'Financování OK - příloha č. 2'!C16</f>
        <v>484996</v>
      </c>
      <c r="G9" s="288">
        <f>'Financování OK - příloha č. 2'!D16</f>
        <v>-418070</v>
      </c>
      <c r="H9" s="289">
        <f>(G9/F9)*100</f>
        <v>-86.200710933698417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0" t="s">
        <v>93</v>
      </c>
      <c r="B10" s="291"/>
      <c r="C10" s="291"/>
      <c r="D10" s="291"/>
      <c r="E10" s="292"/>
      <c r="F10" s="293"/>
      <c r="G10" s="294">
        <f>G7-G8</f>
        <v>418070</v>
      </c>
      <c r="H10" s="295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21. 6. 2021
12.2. - Rozpočet Olomouckého kraje 2021 - plnění rozpočtu k 31. 3. 2021
Příloha č.2 - Plnění rozpočtu Olomouckého kraje k 31. 3. 2021&amp;R&amp;"Arial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9" t="s">
        <v>74</v>
      </c>
      <c r="B1" s="539"/>
      <c r="C1" s="539"/>
      <c r="D1" s="539"/>
      <c r="E1" s="539"/>
      <c r="F1" s="539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540"/>
      <c r="B29" s="541"/>
      <c r="C29" s="541"/>
      <c r="D29" s="541"/>
      <c r="E29" s="541"/>
      <c r="F29" s="541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541"/>
      <c r="B30" s="541"/>
      <c r="C30" s="541"/>
      <c r="D30" s="541"/>
      <c r="E30" s="541"/>
      <c r="F30" s="541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542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542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'Rekapitulace OK - příloha č. 2'!E7</f>
        <v>5856392</v>
      </c>
      <c r="C4" s="102">
        <f>'Rekapitulace OK - příloha č. 2'!E8</f>
        <v>5956051</v>
      </c>
    </row>
    <row r="5" spans="1:3" x14ac:dyDescent="0.2">
      <c r="A5" s="102" t="s">
        <v>12</v>
      </c>
      <c r="B5" s="102">
        <f>'Rekapitulace OK - příloha č. 2'!F7</f>
        <v>18072771</v>
      </c>
      <c r="C5" s="102">
        <f>'Rekapitulace OK - příloha č. 2'!F8</f>
        <v>18557767</v>
      </c>
    </row>
    <row r="6" spans="1:3" x14ac:dyDescent="0.2">
      <c r="A6" s="102" t="s">
        <v>4</v>
      </c>
      <c r="B6" s="102">
        <f>'Rekapitulace OK - příloha č. 2'!G7</f>
        <v>6318506</v>
      </c>
      <c r="C6" s="102">
        <f>'Rekapitulace OK - příloha č. 2'!G8</f>
        <v>5900436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'Příjmy OK - příloha č. 2'!#REF!</f>
        <v>#REF!</v>
      </c>
      <c r="C33" s="102" t="e">
        <f>'Výdaje OK - příloha č. 2'!#REF!</f>
        <v>#REF!</v>
      </c>
    </row>
    <row r="34" spans="1:3" x14ac:dyDescent="0.2">
      <c r="A34" s="102" t="s">
        <v>12</v>
      </c>
      <c r="B34" s="102" t="e">
        <f>'Příjmy OK - příloha č. 2'!#REF!</f>
        <v>#REF!</v>
      </c>
      <c r="C34" s="102" t="e">
        <f>'Výdaje OK - příloha č. 2'!#REF!</f>
        <v>#REF!</v>
      </c>
    </row>
    <row r="35" spans="1:3" x14ac:dyDescent="0.2">
      <c r="A35" s="102" t="s">
        <v>4</v>
      </c>
      <c r="B35" s="102" t="e">
        <f>'Příjmy OK - příloha č. 2'!#REF!</f>
        <v>#REF!</v>
      </c>
      <c r="C35" s="102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543">
        <v>1</v>
      </c>
      <c r="B6" s="544"/>
      <c r="C6" s="544"/>
      <c r="D6" s="545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'Příjmy OK - příloha č. 2'!#REF!</f>
        <v>#REF!</v>
      </c>
      <c r="F7" s="144" t="e">
        <f>'Příjmy OK - příloha č. 2'!#REF!</f>
        <v>#REF!</v>
      </c>
      <c r="G7" s="144" t="e">
        <f>'Příjmy OK - příloha č. 2'!#REF!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'Výdaje OK - příloha č. 2'!#REF!+'Výdaje OK - příloha č. 2'!#REF!</f>
        <v>#REF!</v>
      </c>
      <c r="F9" s="146" t="e">
        <f>'Výdaje OK - příloha č. 2'!#REF!+'Výdaje OK - příloha č. 2'!#REF!</f>
        <v>#REF!</v>
      </c>
      <c r="G9" s="146" t="e">
        <f>'Výdaje OK - příloha č. 2'!#REF!+'Výdaje OK - příloha č. 2'!#REF!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543">
        <v>1</v>
      </c>
      <c r="B40" s="544"/>
      <c r="C40" s="544"/>
      <c r="D40" s="545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'Příjmy OK - příloha č. 2'!#REF!</f>
        <v>#REF!</v>
      </c>
      <c r="F41" s="154" t="e">
        <f>'Příjmy OK - příloha č. 2'!#REF!</f>
        <v>#REF!</v>
      </c>
      <c r="G41" s="154" t="e">
        <f>'Příjmy OK - příloha č. 2'!#REF!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'Výdaje OK - příloha č. 2'!#REF!</f>
        <v>#REF!</v>
      </c>
      <c r="F42" s="155" t="e">
        <f>'Výdaje OK - příloha č. 2'!#REF!</f>
        <v>#REF!</v>
      </c>
      <c r="G42" s="155" t="e">
        <f>'Výdaje OK - příloha č. 2'!#REF!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2021-05-11T11:33:28Z</cp:lastPrinted>
  <dcterms:created xsi:type="dcterms:W3CDTF">2010-11-26T09:05:32Z</dcterms:created>
  <dcterms:modified xsi:type="dcterms:W3CDTF">2021-06-01T06:45:24Z</dcterms:modified>
</cp:coreProperties>
</file>