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1.6.2021\"/>
    </mc:Choice>
  </mc:AlternateContent>
  <bookViews>
    <workbookView xWindow="480" yWindow="1200" windowWidth="15180" windowHeight="9795"/>
  </bookViews>
  <sheets>
    <sheet name="Rekapitulace" sheetId="7" r:id="rId1"/>
    <sheet name="rekapitulace PO" sheetId="15" state="hidden" r:id="rId2"/>
    <sheet name="8a) OK 2020" sheetId="8" state="hidden" r:id="rId3"/>
    <sheet name="8b) Projekty spolufinancované" sheetId="14" state="hidden" r:id="rId4"/>
    <sheet name="8c) SMN" sheetId="13" state="hidden" r:id="rId5"/>
  </sheets>
  <definedNames>
    <definedName name="_xlnm.Print_Area" localSheetId="2">'8a) OK 2020'!$A$1:$E$380</definedName>
    <definedName name="_xlnm.Print_Area" localSheetId="3">'8b) Projekty spolufinancované'!$A$1:$E$213</definedName>
    <definedName name="_xlnm.Print_Area" localSheetId="4">'8c) SMN'!$A$1:$E$20</definedName>
    <definedName name="_xlnm.Print_Area" localSheetId="0">Rekapitulace!$A$1:$D$52</definedName>
    <definedName name="_xlnm.Print_Area" localSheetId="1">'rekapitulace PO'!$A$1:$D$36</definedName>
  </definedNames>
  <calcPr calcId="162913"/>
</workbook>
</file>

<file path=xl/calcChain.xml><?xml version="1.0" encoding="utf-8"?>
<calcChain xmlns="http://schemas.openxmlformats.org/spreadsheetml/2006/main">
  <c r="L187" i="14" l="1"/>
  <c r="K187" i="14"/>
  <c r="J187" i="14"/>
  <c r="B57" i="7"/>
  <c r="K218" i="14" l="1"/>
  <c r="L218" i="14"/>
  <c r="J218" i="14"/>
  <c r="C49" i="7"/>
  <c r="D49" i="7"/>
  <c r="B49" i="7"/>
  <c r="K49" i="14"/>
  <c r="L49" i="14"/>
  <c r="J49" i="14"/>
  <c r="L48" i="14"/>
  <c r="K48" i="14"/>
  <c r="J48" i="14"/>
  <c r="K47" i="14"/>
  <c r="L47" i="14"/>
  <c r="J47" i="14"/>
  <c r="J210" i="14" s="1"/>
  <c r="K98" i="14"/>
  <c r="L98" i="14"/>
  <c r="J98" i="14"/>
  <c r="K96" i="14"/>
  <c r="L96" i="14"/>
  <c r="J96" i="14"/>
  <c r="L131" i="14"/>
  <c r="K131" i="14"/>
  <c r="J131" i="14"/>
  <c r="L128" i="14"/>
  <c r="K128" i="14"/>
  <c r="J128" i="14"/>
  <c r="C34" i="15"/>
  <c r="D34" i="15"/>
  <c r="B34" i="15"/>
  <c r="D93" i="14"/>
  <c r="C93" i="14"/>
  <c r="B93" i="14"/>
  <c r="C35" i="15"/>
  <c r="D35" i="15"/>
  <c r="B35" i="15"/>
  <c r="D179" i="14"/>
  <c r="C179" i="14"/>
  <c r="B179" i="14"/>
  <c r="D156" i="14"/>
  <c r="C156" i="14"/>
  <c r="B156" i="14"/>
  <c r="D150" i="14"/>
  <c r="C150" i="14"/>
  <c r="B150" i="14"/>
  <c r="L130" i="14" l="1"/>
  <c r="K130" i="14"/>
  <c r="J130" i="14"/>
  <c r="D131" i="14"/>
  <c r="C131" i="14"/>
  <c r="B131" i="14"/>
  <c r="D125" i="14"/>
  <c r="C125" i="14"/>
  <c r="B125" i="14"/>
  <c r="D104" i="14"/>
  <c r="C104" i="14"/>
  <c r="B104" i="14"/>
  <c r="D98" i="14"/>
  <c r="C98" i="14"/>
  <c r="B98" i="14"/>
  <c r="D87" i="14"/>
  <c r="C87" i="14"/>
  <c r="B87" i="14"/>
  <c r="D81" i="14"/>
  <c r="C81" i="14"/>
  <c r="B81" i="14"/>
  <c r="D74" i="14"/>
  <c r="C74" i="14"/>
  <c r="B74" i="14"/>
  <c r="D55" i="14"/>
  <c r="C55" i="14"/>
  <c r="B55" i="14"/>
  <c r="K44" i="14"/>
  <c r="L44" i="14"/>
  <c r="J44" i="14"/>
  <c r="L46" i="14"/>
  <c r="K46" i="14"/>
  <c r="J46" i="14"/>
  <c r="C49" i="14"/>
  <c r="D49" i="14"/>
  <c r="B49" i="14"/>
  <c r="D39" i="14"/>
  <c r="C39" i="14"/>
  <c r="B39" i="14"/>
  <c r="D7" i="14"/>
  <c r="C7" i="14"/>
  <c r="B7" i="14"/>
  <c r="K382" i="8"/>
  <c r="L382" i="8"/>
  <c r="J382" i="8"/>
  <c r="D363" i="8"/>
  <c r="C363" i="8"/>
  <c r="C369" i="8" s="1"/>
  <c r="B363" i="8"/>
  <c r="D361" i="8"/>
  <c r="D369" i="8" s="1"/>
  <c r="C361" i="8"/>
  <c r="B361" i="8"/>
  <c r="B369" i="8" s="1"/>
  <c r="D334" i="8"/>
  <c r="C334" i="8"/>
  <c r="B334" i="8"/>
  <c r="D301" i="8"/>
  <c r="C301" i="8"/>
  <c r="B301" i="8"/>
  <c r="D270" i="8"/>
  <c r="C270" i="8"/>
  <c r="B270" i="8"/>
  <c r="D260" i="8"/>
  <c r="C260" i="8"/>
  <c r="B260" i="8"/>
  <c r="D246" i="8"/>
  <c r="C246" i="8"/>
  <c r="B246" i="8"/>
  <c r="D230" i="8"/>
  <c r="C230" i="8"/>
  <c r="B230" i="8"/>
  <c r="C182" i="8"/>
  <c r="D182" i="8"/>
  <c r="B182" i="8"/>
  <c r="C144" i="8"/>
  <c r="D144" i="8"/>
  <c r="B144" i="8"/>
  <c r="C7" i="8"/>
  <c r="D7" i="8"/>
  <c r="C76" i="8"/>
  <c r="D76" i="8"/>
  <c r="B76" i="8"/>
  <c r="B7" i="8"/>
  <c r="C264" i="8" l="1"/>
  <c r="B264" i="8"/>
  <c r="D264" i="8"/>
  <c r="K219" i="14"/>
  <c r="C48" i="7" s="1"/>
  <c r="L219" i="14"/>
  <c r="D48" i="7" s="1"/>
  <c r="J219" i="14"/>
  <c r="B48" i="7" s="1"/>
  <c r="E96" i="14"/>
  <c r="K97" i="14"/>
  <c r="L97" i="14"/>
  <c r="J97" i="14"/>
  <c r="E95" i="14"/>
  <c r="E46" i="14"/>
  <c r="K188" i="14" l="1"/>
  <c r="L188" i="14"/>
  <c r="J188" i="14"/>
  <c r="C181" i="14"/>
  <c r="E181" i="14" s="1"/>
  <c r="H181" i="14"/>
  <c r="E180" i="14"/>
  <c r="D180" i="14"/>
  <c r="K146" i="14" l="1"/>
  <c r="L146" i="14"/>
  <c r="J146" i="14"/>
  <c r="B23" i="13"/>
  <c r="D11" i="13"/>
  <c r="C11" i="13"/>
  <c r="B11" i="13"/>
  <c r="C138" i="14"/>
  <c r="D138" i="14"/>
  <c r="B138" i="14"/>
  <c r="E139" i="14"/>
  <c r="D9" i="13"/>
  <c r="C9" i="13"/>
  <c r="B9" i="13"/>
  <c r="D328" i="8"/>
  <c r="C328" i="8"/>
  <c r="D8" i="13"/>
  <c r="C8" i="13"/>
  <c r="B8" i="13"/>
  <c r="D321" i="8"/>
  <c r="C321" i="8"/>
  <c r="C318" i="8" s="1"/>
  <c r="B321" i="8"/>
  <c r="B318" i="8" s="1"/>
  <c r="D318" i="8" l="1"/>
  <c r="D128" i="14"/>
  <c r="C128" i="14"/>
  <c r="D127" i="14"/>
  <c r="C127" i="14"/>
  <c r="B127" i="14"/>
  <c r="E127" i="14" l="1"/>
  <c r="D7" i="13"/>
  <c r="C7" i="13"/>
  <c r="B7" i="13"/>
  <c r="D145" i="14"/>
  <c r="C145" i="14"/>
  <c r="B145" i="14"/>
  <c r="K95" i="14"/>
  <c r="L95" i="14"/>
  <c r="J95" i="14"/>
  <c r="K94" i="14"/>
  <c r="L94" i="14"/>
  <c r="J94" i="14"/>
  <c r="E78" i="14"/>
  <c r="J137" i="8"/>
  <c r="D126" i="14" l="1"/>
  <c r="C126" i="14"/>
  <c r="D308" i="8" l="1"/>
  <c r="C308" i="8"/>
  <c r="B308" i="8"/>
  <c r="D221" i="8" l="1"/>
  <c r="D220" i="8" s="1"/>
  <c r="D224" i="8" s="1"/>
  <c r="C221" i="8"/>
  <c r="B220" i="8"/>
  <c r="C220" i="8"/>
  <c r="C224" i="8" s="1"/>
  <c r="J221" i="8" l="1"/>
  <c r="B224" i="8"/>
  <c r="L221" i="8"/>
  <c r="E221" i="8"/>
  <c r="K221" i="8"/>
  <c r="E220" i="8"/>
  <c r="L343" i="8"/>
  <c r="K343" i="8"/>
  <c r="J343" i="8"/>
  <c r="L342" i="8"/>
  <c r="K342" i="8"/>
  <c r="J342" i="8"/>
  <c r="L308" i="8"/>
  <c r="K308" i="8"/>
  <c r="J308" i="8"/>
  <c r="L262" i="8"/>
  <c r="K262" i="8"/>
  <c r="J262" i="8"/>
  <c r="L261" i="8"/>
  <c r="K261" i="8"/>
  <c r="J261" i="8"/>
  <c r="K222" i="8"/>
  <c r="L222" i="8"/>
  <c r="J222" i="8"/>
  <c r="K136" i="8"/>
  <c r="L136" i="8"/>
  <c r="J136" i="8"/>
  <c r="L309" i="8"/>
  <c r="K309" i="8"/>
  <c r="J309" i="8"/>
  <c r="K354" i="8"/>
  <c r="L354" i="8"/>
  <c r="L355" i="8" s="1"/>
  <c r="J354" i="8"/>
  <c r="J355" i="8"/>
  <c r="K149" i="14"/>
  <c r="L149" i="14"/>
  <c r="J149" i="14"/>
  <c r="K199" i="14"/>
  <c r="K200" i="14" s="1"/>
  <c r="L199" i="14"/>
  <c r="L200" i="14" s="1"/>
  <c r="J199" i="14"/>
  <c r="J200" i="14" s="1"/>
  <c r="E197" i="14"/>
  <c r="D196" i="14"/>
  <c r="D200" i="14" s="1"/>
  <c r="C196" i="14"/>
  <c r="C200" i="14" s="1"/>
  <c r="B196" i="14"/>
  <c r="B200" i="14" s="1"/>
  <c r="E186" i="14"/>
  <c r="E187" i="14"/>
  <c r="K172" i="14"/>
  <c r="J172" i="14"/>
  <c r="K171" i="14"/>
  <c r="L171" i="14"/>
  <c r="J171" i="14"/>
  <c r="D170" i="14"/>
  <c r="L172" i="14" s="1"/>
  <c r="K148" i="14"/>
  <c r="L148" i="14"/>
  <c r="J148" i="14"/>
  <c r="K147" i="14"/>
  <c r="L147" i="14"/>
  <c r="J147" i="14"/>
  <c r="K79" i="14"/>
  <c r="J79" i="14"/>
  <c r="K78" i="14"/>
  <c r="J78" i="14"/>
  <c r="J208" i="14" s="1"/>
  <c r="L45" i="14"/>
  <c r="K45" i="14"/>
  <c r="J45" i="14"/>
  <c r="K43" i="14"/>
  <c r="J43" i="14"/>
  <c r="H35" i="14"/>
  <c r="D212" i="14" l="1"/>
  <c r="E212" i="14" s="1"/>
  <c r="D29" i="7"/>
  <c r="D28" i="7" s="1"/>
  <c r="K208" i="14"/>
  <c r="B212" i="14"/>
  <c r="B29" i="7"/>
  <c r="B28" i="7" s="1"/>
  <c r="C212" i="14"/>
  <c r="C29" i="7"/>
  <c r="C28" i="7" s="1"/>
  <c r="J150" i="14"/>
  <c r="K150" i="14"/>
  <c r="L150" i="14"/>
  <c r="K378" i="8"/>
  <c r="J378" i="8"/>
  <c r="K355" i="8"/>
  <c r="L378" i="8"/>
  <c r="E200" i="14"/>
  <c r="E196" i="14"/>
  <c r="B24" i="13"/>
  <c r="J17" i="13" l="1"/>
  <c r="K17" i="13"/>
  <c r="I17" i="13"/>
  <c r="K19" i="13"/>
  <c r="J19" i="13"/>
  <c r="I19" i="13"/>
  <c r="J18" i="13"/>
  <c r="I18" i="13"/>
  <c r="D12" i="13"/>
  <c r="D59" i="14"/>
  <c r="D57" i="14"/>
  <c r="D56" i="14"/>
  <c r="L78" i="14" l="1"/>
  <c r="L79" i="14"/>
  <c r="E57" i="14"/>
  <c r="E32" i="14"/>
  <c r="E31" i="14"/>
  <c r="D30" i="14"/>
  <c r="E24" i="14"/>
  <c r="D22" i="14"/>
  <c r="E22" i="14" s="1"/>
  <c r="D21" i="14"/>
  <c r="D20" i="14"/>
  <c r="D19" i="14"/>
  <c r="D15" i="14"/>
  <c r="E16" i="14"/>
  <c r="D13" i="14"/>
  <c r="E14" i="14"/>
  <c r="H10" i="14"/>
  <c r="D9" i="14"/>
  <c r="J127" i="14"/>
  <c r="J125" i="14"/>
  <c r="J216" i="14" s="1"/>
  <c r="J124" i="14"/>
  <c r="J217" i="14" s="1"/>
  <c r="B51" i="7" s="1"/>
  <c r="E121" i="14"/>
  <c r="D119" i="14"/>
  <c r="D120" i="14"/>
  <c r="D117" i="14"/>
  <c r="D116" i="14"/>
  <c r="D118" i="14"/>
  <c r="L127" i="14" s="1"/>
  <c r="C118" i="14"/>
  <c r="K127" i="14" s="1"/>
  <c r="D113" i="14"/>
  <c r="C113" i="14"/>
  <c r="D114" i="14"/>
  <c r="C114" i="14"/>
  <c r="E20" i="14" l="1"/>
  <c r="L43" i="14"/>
  <c r="D111" i="14"/>
  <c r="C111" i="14"/>
  <c r="D110" i="14"/>
  <c r="C110" i="14"/>
  <c r="B110" i="14"/>
  <c r="D109" i="14"/>
  <c r="C109" i="14"/>
  <c r="D108" i="14"/>
  <c r="C108" i="14"/>
  <c r="B108" i="14"/>
  <c r="D107" i="14"/>
  <c r="C107" i="14"/>
  <c r="D106" i="14"/>
  <c r="L124" i="14" s="1"/>
  <c r="C106" i="14"/>
  <c r="D105" i="14"/>
  <c r="E13" i="14"/>
  <c r="E15" i="14"/>
  <c r="E17" i="14"/>
  <c r="L208" i="14" l="1"/>
  <c r="K123" i="14"/>
  <c r="E111" i="14"/>
  <c r="L125" i="14"/>
  <c r="L216" i="14" s="1"/>
  <c r="J123" i="14"/>
  <c r="L123" i="14"/>
  <c r="K124" i="14"/>
  <c r="K125" i="14"/>
  <c r="K216" i="14" s="1"/>
  <c r="E109" i="14"/>
  <c r="E106" i="14"/>
  <c r="E253" i="8"/>
  <c r="E205" i="8"/>
  <c r="E204" i="8"/>
  <c r="E203" i="8"/>
  <c r="E186" i="8"/>
  <c r="E119" i="8"/>
  <c r="E107" i="8"/>
  <c r="E106" i="8"/>
  <c r="E105" i="8"/>
  <c r="E100" i="8"/>
  <c r="E101" i="8"/>
  <c r="E102" i="8"/>
  <c r="E103" i="8"/>
  <c r="E94" i="8"/>
  <c r="E188" i="8"/>
  <c r="E85" i="8" l="1"/>
  <c r="C351" i="8"/>
  <c r="C355" i="8" s="1"/>
  <c r="D351" i="8"/>
  <c r="D355" i="8" s="1"/>
  <c r="B351" i="8"/>
  <c r="B355" i="8" s="1"/>
  <c r="E330" i="8"/>
  <c r="E326" i="8"/>
  <c r="B378" i="8" l="1"/>
  <c r="B23" i="7"/>
  <c r="B22" i="7" s="1"/>
  <c r="D378" i="8"/>
  <c r="D23" i="7"/>
  <c r="D22" i="7" s="1"/>
  <c r="C378" i="8"/>
  <c r="C23" i="7"/>
  <c r="C22" i="7" s="1"/>
  <c r="E294" i="8"/>
  <c r="E295" i="8"/>
  <c r="E296" i="8"/>
  <c r="E293" i="8"/>
  <c r="E282" i="8"/>
  <c r="E275" i="8"/>
  <c r="E237" i="8"/>
  <c r="E238" i="8"/>
  <c r="E239" i="8"/>
  <c r="E240" i="8"/>
  <c r="E241" i="8"/>
  <c r="E242" i="8"/>
  <c r="E274" i="8" l="1"/>
  <c r="E276" i="8"/>
  <c r="E278" i="8"/>
  <c r="E279" i="8"/>
  <c r="E280" i="8"/>
  <c r="E281" i="8"/>
  <c r="E284" i="8"/>
  <c r="E285" i="8"/>
  <c r="E286" i="8"/>
  <c r="E288" i="8"/>
  <c r="E271" i="8"/>
  <c r="E177" i="8"/>
  <c r="E176" i="8"/>
  <c r="E174" i="8"/>
  <c r="E171" i="8"/>
  <c r="E168" i="8"/>
  <c r="E162" i="8"/>
  <c r="E155" i="8"/>
  <c r="E148" i="8"/>
  <c r="E147" i="8"/>
  <c r="E66" i="8"/>
  <c r="E67" i="8"/>
  <c r="E68" i="8"/>
  <c r="E69" i="8"/>
  <c r="E70" i="8"/>
  <c r="E71" i="8"/>
  <c r="E61" i="8"/>
  <c r="E62" i="8"/>
  <c r="E63" i="8"/>
  <c r="E64" i="8"/>
  <c r="E65" i="8"/>
  <c r="E72" i="8"/>
  <c r="E51" i="8" l="1"/>
  <c r="E52" i="8"/>
  <c r="E53" i="8"/>
  <c r="E54" i="8"/>
  <c r="E56" i="8"/>
  <c r="E57" i="8"/>
  <c r="E58" i="8"/>
  <c r="E59" i="8"/>
  <c r="E41" i="8" l="1"/>
  <c r="E16" i="8" l="1"/>
  <c r="K80" i="14" l="1"/>
  <c r="L80" i="14"/>
  <c r="J80" i="14"/>
  <c r="E75" i="14"/>
  <c r="E76" i="14"/>
  <c r="D168" i="14" l="1"/>
  <c r="C168" i="14"/>
  <c r="B168" i="14"/>
  <c r="E157" i="14"/>
  <c r="E166" i="8" l="1"/>
  <c r="J161" i="14" l="1"/>
  <c r="J209" i="14" l="1"/>
  <c r="J162" i="14"/>
  <c r="C9" i="15"/>
  <c r="D9" i="15"/>
  <c r="B9" i="15"/>
  <c r="J129" i="14" l="1"/>
  <c r="K129" i="14"/>
  <c r="L129" i="14"/>
  <c r="B14" i="15" l="1"/>
  <c r="E126" i="14" l="1"/>
  <c r="B12" i="15" l="1"/>
  <c r="C12" i="15"/>
  <c r="E94" i="14"/>
  <c r="E74" i="14"/>
  <c r="K161" i="14"/>
  <c r="L161" i="14"/>
  <c r="E159" i="14"/>
  <c r="E182" i="14"/>
  <c r="E183" i="14"/>
  <c r="E141" i="14"/>
  <c r="E34" i="14"/>
  <c r="C50" i="7"/>
  <c r="D50" i="7"/>
  <c r="B50" i="7"/>
  <c r="E30" i="14"/>
  <c r="E67" i="14"/>
  <c r="E65" i="14"/>
  <c r="E63" i="14"/>
  <c r="E59" i="14"/>
  <c r="K210" i="14" l="1"/>
  <c r="C33" i="15" s="1"/>
  <c r="K209" i="14"/>
  <c r="L209" i="14"/>
  <c r="L162" i="14"/>
  <c r="K162" i="14"/>
  <c r="D12" i="15"/>
  <c r="E93" i="14"/>
  <c r="L81" i="14"/>
  <c r="J81" i="14"/>
  <c r="K81" i="14"/>
  <c r="K190" i="14"/>
  <c r="J190" i="14"/>
  <c r="L190" i="14"/>
  <c r="E58" i="14"/>
  <c r="E29" i="14"/>
  <c r="E26" i="14"/>
  <c r="E23" i="14"/>
  <c r="E118" i="14"/>
  <c r="L217" i="14"/>
  <c r="D51" i="7" s="1"/>
  <c r="E120" i="14"/>
  <c r="L210" i="14" l="1"/>
  <c r="D33" i="15" s="1"/>
  <c r="L207" i="14"/>
  <c r="J207" i="14"/>
  <c r="E114" i="14"/>
  <c r="E110" i="14"/>
  <c r="E115" i="14" l="1"/>
  <c r="E365" i="8"/>
  <c r="K217" i="14" l="1"/>
  <c r="C51" i="7" s="1"/>
  <c r="K207" i="14"/>
  <c r="E336" i="8" l="1"/>
  <c r="E252" i="8"/>
  <c r="E199" i="8"/>
  <c r="E130" i="8"/>
  <c r="E129" i="8"/>
  <c r="E128" i="8"/>
  <c r="E124" i="8"/>
  <c r="E123" i="8"/>
  <c r="E117" i="8"/>
  <c r="E110" i="8"/>
  <c r="E247" i="8"/>
  <c r="E248" i="8"/>
  <c r="E249" i="8"/>
  <c r="E250" i="8"/>
  <c r="E251" i="8"/>
  <c r="E254" i="8"/>
  <c r="E255" i="8"/>
  <c r="E193" i="8"/>
  <c r="E192" i="8"/>
  <c r="E191" i="8"/>
  <c r="E104" i="8"/>
  <c r="E98" i="8"/>
  <c r="E97" i="8"/>
  <c r="E96" i="8"/>
  <c r="E92" i="8"/>
  <c r="E91" i="8"/>
  <c r="E90" i="8"/>
  <c r="E88" i="8"/>
  <c r="E87" i="8"/>
  <c r="E84" i="8"/>
  <c r="E81" i="8"/>
  <c r="E80" i="8"/>
  <c r="E79" i="8"/>
  <c r="E329" i="8" l="1"/>
  <c r="E10" i="13"/>
  <c r="E325" i="8" l="1"/>
  <c r="E324" i="8"/>
  <c r="E323" i="8"/>
  <c r="E321" i="8"/>
  <c r="E297" i="8"/>
  <c r="E236" i="8"/>
  <c r="E175" i="8"/>
  <c r="E178" i="8"/>
  <c r="E169" i="8"/>
  <c r="E170" i="8"/>
  <c r="E172" i="8"/>
  <c r="E173" i="8"/>
  <c r="E167" i="8"/>
  <c r="E163" i="8"/>
  <c r="K137" i="8"/>
  <c r="L137" i="8"/>
  <c r="E50" i="8"/>
  <c r="E49" i="8"/>
  <c r="E48" i="8"/>
  <c r="E47" i="8"/>
  <c r="E46" i="8" l="1"/>
  <c r="E45" i="8"/>
  <c r="E44" i="8"/>
  <c r="E43" i="8"/>
  <c r="E42" i="8"/>
  <c r="E40" i="8"/>
  <c r="E39" i="8"/>
  <c r="E38" i="8"/>
  <c r="E37" i="8"/>
  <c r="E34" i="8" l="1"/>
  <c r="E33" i="8"/>
  <c r="E32" i="8"/>
  <c r="E31" i="8"/>
  <c r="E19" i="8" l="1"/>
  <c r="E10" i="8"/>
  <c r="E11" i="8"/>
  <c r="E12" i="8"/>
  <c r="E362" i="8"/>
  <c r="E25" i="8" l="1"/>
  <c r="K18" i="13" l="1"/>
  <c r="E9" i="13" l="1"/>
  <c r="J20" i="13" l="1"/>
  <c r="K20" i="13"/>
  <c r="I20" i="13"/>
  <c r="E30" i="8" l="1"/>
  <c r="L310" i="8"/>
  <c r="K310" i="8"/>
  <c r="J310" i="8"/>
  <c r="L263" i="8"/>
  <c r="K263" i="8"/>
  <c r="J263" i="8"/>
  <c r="B6" i="15"/>
  <c r="K58" i="7" l="1"/>
  <c r="I58" i="7"/>
  <c r="J220" i="14"/>
  <c r="K57" i="7"/>
  <c r="K173" i="14"/>
  <c r="L173" i="14"/>
  <c r="I56" i="7"/>
  <c r="J173" i="14"/>
  <c r="I57" i="7"/>
  <c r="C8" i="15"/>
  <c r="C7" i="15" s="1"/>
  <c r="D8" i="15"/>
  <c r="D7" i="15" s="1"/>
  <c r="J223" i="8"/>
  <c r="B8" i="15"/>
  <c r="B7" i="15" s="1"/>
  <c r="J379" i="8" l="1"/>
  <c r="J224" i="8"/>
  <c r="G45" i="7"/>
  <c r="J311" i="8"/>
  <c r="E42" i="14"/>
  <c r="E41" i="14" l="1"/>
  <c r="E40" i="14" l="1"/>
  <c r="C18" i="15"/>
  <c r="D18" i="15"/>
  <c r="B18" i="15"/>
  <c r="E146" i="14"/>
  <c r="E45" i="14"/>
  <c r="E43" i="14"/>
  <c r="E44" i="14"/>
  <c r="E170" i="14"/>
  <c r="E35" i="14"/>
  <c r="E145" i="14" l="1"/>
  <c r="D190" i="14"/>
  <c r="C190" i="14"/>
  <c r="B190" i="14"/>
  <c r="E158" i="14"/>
  <c r="E12" i="13"/>
  <c r="C211" i="14" l="1"/>
  <c r="C27" i="7"/>
  <c r="B211" i="14"/>
  <c r="B27" i="7"/>
  <c r="D211" i="14"/>
  <c r="E211" i="14" s="1"/>
  <c r="D27" i="7"/>
  <c r="E190" i="14"/>
  <c r="E179" i="14"/>
  <c r="D26" i="7" l="1"/>
  <c r="C26" i="7"/>
  <c r="B26" i="7"/>
  <c r="J58" i="7"/>
  <c r="E10" i="14"/>
  <c r="E66" i="14"/>
  <c r="E68" i="14"/>
  <c r="E62" i="14"/>
  <c r="E64" i="14"/>
  <c r="E69" i="14"/>
  <c r="E70" i="14"/>
  <c r="E19" i="14"/>
  <c r="E21" i="14"/>
  <c r="E61" i="14" l="1"/>
  <c r="E119" i="14"/>
  <c r="J57" i="7" l="1"/>
  <c r="E117" i="14"/>
  <c r="C15" i="15"/>
  <c r="B15" i="15"/>
  <c r="B26" i="15" s="1"/>
  <c r="D15" i="15"/>
  <c r="E107" i="14"/>
  <c r="E8" i="14"/>
  <c r="E9" i="14"/>
  <c r="B13" i="15" l="1"/>
  <c r="J211" i="14"/>
  <c r="L311" i="8"/>
  <c r="K344" i="8"/>
  <c r="L344" i="8"/>
  <c r="J344" i="8"/>
  <c r="K311" i="8"/>
  <c r="G39" i="7" l="1"/>
  <c r="G41" i="7" s="1"/>
  <c r="I55" i="7"/>
  <c r="G47" i="7"/>
  <c r="K220" i="14"/>
  <c r="L220" i="14"/>
  <c r="J56" i="7"/>
  <c r="K211" i="14"/>
  <c r="J55" i="7"/>
  <c r="K55" i="7"/>
  <c r="E364" i="8"/>
  <c r="L368" i="8"/>
  <c r="L381" i="8" s="1"/>
  <c r="J368" i="8"/>
  <c r="J381" i="8" s="1"/>
  <c r="E342" i="8"/>
  <c r="D341" i="8"/>
  <c r="D345" i="8" s="1"/>
  <c r="C341" i="8"/>
  <c r="C345" i="8" s="1"/>
  <c r="B341" i="8"/>
  <c r="B345" i="8" s="1"/>
  <c r="G51" i="7" l="1"/>
  <c r="G53" i="7" s="1"/>
  <c r="K56" i="7"/>
  <c r="L211" i="14"/>
  <c r="E363" i="8"/>
  <c r="K368" i="8"/>
  <c r="K381" i="8" s="1"/>
  <c r="E341" i="8"/>
  <c r="E335" i="8"/>
  <c r="B307" i="8"/>
  <c r="B311" i="8" s="1"/>
  <c r="C307" i="8"/>
  <c r="C311" i="8" s="1"/>
  <c r="D307" i="8"/>
  <c r="D311" i="8" s="1"/>
  <c r="E308" i="8"/>
  <c r="E307" i="8" l="1"/>
  <c r="E115" i="8"/>
  <c r="E114" i="8"/>
  <c r="E113" i="8"/>
  <c r="E112" i="8"/>
  <c r="E108" i="8"/>
  <c r="E86" i="8"/>
  <c r="E83" i="8"/>
  <c r="E328" i="8"/>
  <c r="E327" i="8"/>
  <c r="E320" i="8"/>
  <c r="E231" i="8" l="1"/>
  <c r="E161" i="8"/>
  <c r="E164" i="8"/>
  <c r="E159" i="8"/>
  <c r="E160" i="8"/>
  <c r="E154" i="8"/>
  <c r="E157" i="8"/>
  <c r="E153" i="8"/>
  <c r="E28" i="8"/>
  <c r="E29" i="8"/>
  <c r="E24" i="8"/>
  <c r="E26" i="8"/>
  <c r="E22" i="8"/>
  <c r="E23" i="8"/>
  <c r="E27" i="8"/>
  <c r="D6" i="15" l="1"/>
  <c r="D26" i="15" s="1"/>
  <c r="E169" i="14" l="1"/>
  <c r="C162" i="14"/>
  <c r="B162" i="14"/>
  <c r="E140" i="14"/>
  <c r="E116" i="14"/>
  <c r="E113" i="14"/>
  <c r="E112" i="14"/>
  <c r="E108" i="14"/>
  <c r="E105" i="14"/>
  <c r="E89" i="14"/>
  <c r="E88" i="14"/>
  <c r="E60" i="14"/>
  <c r="E56" i="14"/>
  <c r="C6" i="15"/>
  <c r="C26" i="15" s="1"/>
  <c r="E20" i="8"/>
  <c r="E18" i="8"/>
  <c r="E17" i="8"/>
  <c r="E15" i="8"/>
  <c r="E14" i="8"/>
  <c r="E13" i="8"/>
  <c r="E322" i="8"/>
  <c r="E319" i="8"/>
  <c r="C14" i="15"/>
  <c r="C13" i="15" s="1"/>
  <c r="D14" i="15"/>
  <c r="D13" i="15" s="1"/>
  <c r="E272" i="8"/>
  <c r="C11" i="15"/>
  <c r="C10" i="15" s="1"/>
  <c r="D11" i="15"/>
  <c r="D10" i="15" s="1"/>
  <c r="B11" i="15"/>
  <c r="B10" i="15" s="1"/>
  <c r="D17" i="15" l="1"/>
  <c r="C17" i="15"/>
  <c r="B17" i="15"/>
  <c r="D5" i="15"/>
  <c r="D4" i="15" s="1"/>
  <c r="C5" i="15"/>
  <c r="C4" i="15" s="1"/>
  <c r="B5" i="15"/>
  <c r="B4" i="15" s="1"/>
  <c r="E156" i="14"/>
  <c r="D162" i="14"/>
  <c r="E55" i="14"/>
  <c r="E104" i="14"/>
  <c r="E138" i="14"/>
  <c r="E318" i="8"/>
  <c r="D134" i="8"/>
  <c r="C134" i="8"/>
  <c r="B134" i="8"/>
  <c r="D15" i="13"/>
  <c r="C15" i="13"/>
  <c r="B15" i="13"/>
  <c r="B16" i="15" l="1"/>
  <c r="B25" i="15"/>
  <c r="B27" i="15" s="1"/>
  <c r="C16" i="15"/>
  <c r="C25" i="15"/>
  <c r="C27" i="15" s="1"/>
  <c r="D16" i="15"/>
  <c r="D25" i="15"/>
  <c r="C138" i="8"/>
  <c r="K135" i="8"/>
  <c r="K377" i="8" s="1"/>
  <c r="D138" i="8"/>
  <c r="L135" i="8"/>
  <c r="L377" i="8" s="1"/>
  <c r="B138" i="8"/>
  <c r="J135" i="8"/>
  <c r="J377" i="8" s="1"/>
  <c r="D19" i="15"/>
  <c r="B373" i="8"/>
  <c r="C19" i="15"/>
  <c r="B19" i="15"/>
  <c r="E311" i="8"/>
  <c r="D27" i="15"/>
  <c r="C373" i="8"/>
  <c r="K138" i="8" l="1"/>
  <c r="J138" i="8"/>
  <c r="L138" i="8"/>
  <c r="E138" i="8"/>
  <c r="E261" i="8"/>
  <c r="E260" i="8" l="1"/>
  <c r="C19" i="13" l="1"/>
  <c r="D19" i="13"/>
  <c r="B19" i="13"/>
  <c r="E15" i="13" l="1"/>
  <c r="K345" i="8"/>
  <c r="L345" i="8"/>
  <c r="B33" i="15" l="1"/>
  <c r="B36" i="15" s="1"/>
  <c r="J345" i="8"/>
  <c r="K264" i="8"/>
  <c r="J264" i="8"/>
  <c r="L264" i="8"/>
  <c r="I59" i="7" l="1"/>
  <c r="K223" i="8"/>
  <c r="K224" i="8" s="1"/>
  <c r="L223" i="8"/>
  <c r="B379" i="8" l="1"/>
  <c r="L379" i="8"/>
  <c r="D36" i="15" s="1"/>
  <c r="L224" i="8"/>
  <c r="K379" i="8"/>
  <c r="K53" i="7"/>
  <c r="D31" i="7"/>
  <c r="J53" i="7"/>
  <c r="C31" i="7"/>
  <c r="I53" i="7"/>
  <c r="B31" i="7"/>
  <c r="I60" i="7"/>
  <c r="J60" i="7"/>
  <c r="I52" i="7"/>
  <c r="J52" i="7"/>
  <c r="K52" i="7"/>
  <c r="B375" i="8"/>
  <c r="L367" i="8"/>
  <c r="J367" i="8"/>
  <c r="K367" i="8"/>
  <c r="B376" i="8"/>
  <c r="K50" i="7"/>
  <c r="J50" i="7"/>
  <c r="E361" i="8"/>
  <c r="D373" i="8"/>
  <c r="E256" i="8"/>
  <c r="E213" i="8"/>
  <c r="E214" i="8"/>
  <c r="E215" i="8"/>
  <c r="E216" i="8"/>
  <c r="E212" i="8"/>
  <c r="E207" i="8"/>
  <c r="E208" i="8"/>
  <c r="E209" i="8"/>
  <c r="E126" i="8"/>
  <c r="E127" i="8"/>
  <c r="E125" i="8"/>
  <c r="E120" i="8"/>
  <c r="J380" i="8" l="1"/>
  <c r="J369" i="8"/>
  <c r="K380" i="8"/>
  <c r="J51" i="7" s="1"/>
  <c r="K369" i="8"/>
  <c r="L380" i="8"/>
  <c r="K51" i="7" s="1"/>
  <c r="L369" i="8"/>
  <c r="I51" i="7"/>
  <c r="C36" i="15"/>
  <c r="J59" i="7"/>
  <c r="K59" i="7"/>
  <c r="I50" i="7"/>
  <c r="E373" i="8"/>
  <c r="E197" i="8" l="1"/>
  <c r="E198" i="8"/>
  <c r="E200" i="8"/>
  <c r="E183" i="8" l="1"/>
  <c r="E184" i="8"/>
  <c r="E185" i="8"/>
  <c r="E187" i="8"/>
  <c r="E189" i="8"/>
  <c r="E190" i="8"/>
  <c r="E302" i="8" l="1"/>
  <c r="C173" i="14" l="1"/>
  <c r="C210" i="14" s="1"/>
  <c r="C25" i="7" s="1"/>
  <c r="B173" i="14"/>
  <c r="B210" i="14" s="1"/>
  <c r="B25" i="7" s="1"/>
  <c r="C209" i="14"/>
  <c r="C21" i="7" s="1"/>
  <c r="C20" i="7" s="1"/>
  <c r="B209" i="14"/>
  <c r="B21" i="7" s="1"/>
  <c r="B20" i="7" s="1"/>
  <c r="D173" i="14" l="1"/>
  <c r="E173" i="14" s="1"/>
  <c r="E168" i="14"/>
  <c r="E81" i="14"/>
  <c r="B207" i="14"/>
  <c r="B15" i="7" s="1"/>
  <c r="B206" i="14"/>
  <c r="B12" i="7" s="1"/>
  <c r="E128" i="14"/>
  <c r="C208" i="14"/>
  <c r="C18" i="7" s="1"/>
  <c r="D208" i="14"/>
  <c r="C205" i="14"/>
  <c r="C9" i="7" s="1"/>
  <c r="D210" i="14" l="1"/>
  <c r="E210" i="14" s="1"/>
  <c r="D18" i="7"/>
  <c r="E208" i="14"/>
  <c r="E87" i="14"/>
  <c r="B204" i="14"/>
  <c r="C204" i="14"/>
  <c r="C207" i="14"/>
  <c r="C15" i="7" s="1"/>
  <c r="C206" i="14"/>
  <c r="C12" i="7" s="1"/>
  <c r="B205" i="14"/>
  <c r="E7" i="14"/>
  <c r="E39" i="14"/>
  <c r="D204" i="14"/>
  <c r="E150" i="14"/>
  <c r="D205" i="14"/>
  <c r="E205" i="14" s="1"/>
  <c r="E125" i="14"/>
  <c r="C213" i="14" l="1"/>
  <c r="D25" i="7"/>
  <c r="B6" i="7"/>
  <c r="C6" i="7"/>
  <c r="C39" i="7" s="1"/>
  <c r="D6" i="7"/>
  <c r="E204" i="14"/>
  <c r="B9" i="7"/>
  <c r="D9" i="7"/>
  <c r="E49" i="14"/>
  <c r="D209" i="14"/>
  <c r="E209" i="14" s="1"/>
  <c r="E162" i="14"/>
  <c r="D206" i="14"/>
  <c r="E206" i="14" s="1"/>
  <c r="E98" i="14"/>
  <c r="D207" i="14"/>
  <c r="E207" i="14" s="1"/>
  <c r="E131" i="14"/>
  <c r="D213" i="14" l="1"/>
  <c r="E213" i="14" s="1"/>
  <c r="D12" i="7"/>
  <c r="D15" i="7"/>
  <c r="D21" i="7"/>
  <c r="D20" i="7" s="1"/>
  <c r="D39" i="7" l="1"/>
  <c r="E337" i="8"/>
  <c r="E211" i="8"/>
  <c r="K60" i="7"/>
  <c r="E152" i="8" l="1"/>
  <c r="E151" i="8"/>
  <c r="E150" i="8"/>
  <c r="E11" i="13" l="1"/>
  <c r="E8" i="13"/>
  <c r="B20" i="13"/>
  <c r="B19" i="7" s="1"/>
  <c r="B40" i="7" l="1"/>
  <c r="E7" i="13"/>
  <c r="C20" i="13"/>
  <c r="C19" i="7" s="1"/>
  <c r="C40" i="7" s="1"/>
  <c r="D20" i="13" l="1"/>
  <c r="D19" i="7" s="1"/>
  <c r="D40" i="7" s="1"/>
  <c r="E19" i="13"/>
  <c r="E20" i="13" l="1"/>
  <c r="E135" i="8" l="1"/>
  <c r="E303" i="8" l="1"/>
  <c r="E206" i="8" l="1"/>
  <c r="E210" i="8"/>
  <c r="E201" i="8" l="1"/>
  <c r="E202" i="8"/>
  <c r="E77" i="8" l="1"/>
  <c r="B374" i="8" l="1"/>
  <c r="I54" i="7" l="1"/>
  <c r="J54" i="7"/>
  <c r="K54" i="7"/>
  <c r="E234" i="8" l="1"/>
  <c r="E235" i="8"/>
  <c r="B377" i="8" l="1"/>
  <c r="B380" i="8" s="1"/>
  <c r="B17" i="7" l="1"/>
  <c r="E246" i="8" l="1"/>
  <c r="E334" i="8"/>
  <c r="E144" i="8"/>
  <c r="E230" i="8"/>
  <c r="C375" i="8"/>
  <c r="E270" i="8"/>
  <c r="E182" i="8"/>
  <c r="E264" i="8" l="1"/>
  <c r="D375" i="8"/>
  <c r="E375" i="8" s="1"/>
  <c r="E122" i="8" l="1"/>
  <c r="E118" i="8"/>
  <c r="E116" i="8"/>
  <c r="E111" i="8"/>
  <c r="E109" i="8"/>
  <c r="E99" i="8"/>
  <c r="E95" i="8"/>
  <c r="E93" i="8"/>
  <c r="E121" i="8" l="1"/>
  <c r="E78" i="8"/>
  <c r="E82" i="8"/>
  <c r="E89" i="8"/>
  <c r="C24" i="7" l="1"/>
  <c r="B24" i="7"/>
  <c r="D24" i="7" l="1"/>
  <c r="C377" i="8" l="1"/>
  <c r="C17" i="7" s="1"/>
  <c r="D374" i="8"/>
  <c r="C16" i="7" l="1"/>
  <c r="D376" i="8"/>
  <c r="D377" i="8" l="1"/>
  <c r="E377" i="8" s="1"/>
  <c r="E345" i="8"/>
  <c r="C376" i="8"/>
  <c r="E376" i="8" s="1"/>
  <c r="E224" i="8"/>
  <c r="C374" i="8"/>
  <c r="E374" i="8" l="1"/>
  <c r="D17" i="7"/>
  <c r="D16" i="7" l="1"/>
  <c r="K61" i="7" l="1"/>
  <c r="J61" i="7"/>
  <c r="I61" i="7"/>
  <c r="E301" i="8" l="1"/>
  <c r="E149" i="8" l="1"/>
  <c r="E146" i="8"/>
  <c r="E145" i="8"/>
  <c r="E232" i="8" l="1"/>
  <c r="E369" i="8" l="1"/>
  <c r="C379" i="8"/>
  <c r="C380" i="8" l="1"/>
  <c r="D379" i="8"/>
  <c r="D380" i="8" s="1"/>
  <c r="E379" i="8" l="1"/>
  <c r="E134" i="8"/>
  <c r="B30" i="7" l="1"/>
  <c r="B11" i="7"/>
  <c r="B10" i="7" s="1"/>
  <c r="C14" i="7"/>
  <c r="D14" i="7"/>
  <c r="B14" i="7"/>
  <c r="E7" i="8"/>
  <c r="E76" i="8"/>
  <c r="D13" i="7" l="1"/>
  <c r="C13" i="7"/>
  <c r="B13" i="7"/>
  <c r="D5" i="7"/>
  <c r="D4" i="7" s="1"/>
  <c r="C11" i="7"/>
  <c r="C10" i="7" s="1"/>
  <c r="C30" i="7"/>
  <c r="B5" i="7" l="1"/>
  <c r="B4" i="7" s="1"/>
  <c r="C5" i="7"/>
  <c r="C4" i="7" s="1"/>
  <c r="D30" i="7"/>
  <c r="D11" i="7"/>
  <c r="D10" i="7" l="1"/>
  <c r="E380" i="8"/>
  <c r="D8" i="7"/>
  <c r="D38" i="7" s="1"/>
  <c r="C8" i="7"/>
  <c r="C38" i="7" s="1"/>
  <c r="C7" i="7" l="1"/>
  <c r="C32" i="7" s="1"/>
  <c r="D41" i="7"/>
  <c r="D7" i="7"/>
  <c r="D32" i="7" s="1"/>
  <c r="C41" i="7"/>
  <c r="B8" i="7" l="1"/>
  <c r="B38" i="7" s="1"/>
  <c r="B7" i="7" l="1"/>
  <c r="B208" i="14"/>
  <c r="B213" i="14" s="1"/>
  <c r="B18" i="7" l="1"/>
  <c r="B39" i="7" s="1"/>
  <c r="B41" i="7" l="1"/>
  <c r="B16" i="7"/>
  <c r="B32" i="7" s="1"/>
  <c r="B58" i="7" l="1"/>
  <c r="D47" i="7"/>
  <c r="D52" i="7" s="1"/>
  <c r="B47" i="7"/>
  <c r="B52" i="7" s="1"/>
  <c r="C47" i="7"/>
  <c r="C52" i="7" s="1"/>
</calcChain>
</file>

<file path=xl/comments1.xml><?xml version="1.0" encoding="utf-8"?>
<comments xmlns="http://schemas.openxmlformats.org/spreadsheetml/2006/main">
  <authors>
    <author>Foret Oldřich</author>
  </authors>
  <commentList>
    <comment ref="B57" authorId="0" shapeId="0">
      <text>
        <r>
          <rPr>
            <sz val="9"/>
            <color indexed="81"/>
            <rFont val="Tahoma"/>
            <family val="2"/>
            <charset val="238"/>
          </rPr>
          <t xml:space="preserve">+ Evropské programy 30, 60 - 76
- OMPSČ
</t>
        </r>
      </text>
    </comment>
  </commentList>
</comments>
</file>

<file path=xl/sharedStrings.xml><?xml version="1.0" encoding="utf-8"?>
<sst xmlns="http://schemas.openxmlformats.org/spreadsheetml/2006/main" count="1254" uniqueCount="501">
  <si>
    <t>schválený rozpočet</t>
  </si>
  <si>
    <t>upravený rozpočet</t>
  </si>
  <si>
    <t>ORG</t>
  </si>
  <si>
    <t>Celkem</t>
  </si>
  <si>
    <t>skutečnost</t>
  </si>
  <si>
    <t>název akce</t>
  </si>
  <si>
    <t xml:space="preserve"> %</t>
  </si>
  <si>
    <t>oblast školství</t>
  </si>
  <si>
    <t>oblast kultury</t>
  </si>
  <si>
    <t>oblast sociální</t>
  </si>
  <si>
    <t>oblast zdravotnictví</t>
  </si>
  <si>
    <t>oblast dopravy</t>
  </si>
  <si>
    <t>Rekapitulace:</t>
  </si>
  <si>
    <t xml:space="preserve"> - oblast dopravy</t>
  </si>
  <si>
    <t xml:space="preserve"> - oblast zdravotnictví</t>
  </si>
  <si>
    <t xml:space="preserve"> - oblast sociální</t>
  </si>
  <si>
    <t xml:space="preserve"> - oblast školství</t>
  </si>
  <si>
    <t xml:space="preserve"> - oblast kultury</t>
  </si>
  <si>
    <t>v Kč</t>
  </si>
  <si>
    <t>1. Oblast školství</t>
  </si>
  <si>
    <t xml:space="preserve">Oblast školství celkem </t>
  </si>
  <si>
    <t xml:space="preserve">Oblast sociální celkem </t>
  </si>
  <si>
    <t xml:space="preserve">Oblast kultury celkem </t>
  </si>
  <si>
    <t xml:space="preserve">Oblast zdravotnictví celkem </t>
  </si>
  <si>
    <t xml:space="preserve">Oblast dopravy celkem </t>
  </si>
  <si>
    <t xml:space="preserve"> - rozpočet kraje</t>
  </si>
  <si>
    <t>oblast krajské správy</t>
  </si>
  <si>
    <t>CELKEM</t>
  </si>
  <si>
    <t xml:space="preserve">2. Oblast sociální </t>
  </si>
  <si>
    <t>b/ akce zajišťované příspěvkovými organizacemi</t>
  </si>
  <si>
    <t xml:space="preserve">5. Oblast zdravotnictví </t>
  </si>
  <si>
    <t>oblast zdravotnictví - nájemné NOK</t>
  </si>
  <si>
    <t>ORJ 17</t>
  </si>
  <si>
    <t>oblast informačních technologií</t>
  </si>
  <si>
    <t>PO</t>
  </si>
  <si>
    <t>ORJ 04</t>
  </si>
  <si>
    <t>ORJ 59</t>
  </si>
  <si>
    <t>Vypořádání staveb po jejich dokončení z minulých let - výkupy pozemků a jiné</t>
  </si>
  <si>
    <t>ORJ 50</t>
  </si>
  <si>
    <t>Orj 03</t>
  </si>
  <si>
    <t>ORJ 52</t>
  </si>
  <si>
    <t>akce zajišťované příslušnými odbory</t>
  </si>
  <si>
    <t>Oblast krizového řízení celkem</t>
  </si>
  <si>
    <t xml:space="preserve"> - oblast krizového řízení</t>
  </si>
  <si>
    <t>100755</t>
  </si>
  <si>
    <t>III/4359, III4353 Velký Týnec - rekonstrukce silnice, IV. Etapa</t>
  </si>
  <si>
    <t>kř. II/367 - Tovačov</t>
  </si>
  <si>
    <t>Přerov - Doloplazy - kř. II/437</t>
  </si>
  <si>
    <t>ORJ 50, UZ 88x</t>
  </si>
  <si>
    <t>b/ akce zajišťované Správou silnic Olomouckého kraje (ORG 1600)</t>
  </si>
  <si>
    <t>UZ 12</t>
  </si>
  <si>
    <t>oblast krizového řízení</t>
  </si>
  <si>
    <t xml:space="preserve"> - investiční výdaje odborů</t>
  </si>
  <si>
    <t>Oblast informačních technologií</t>
  </si>
  <si>
    <t>Oblast informačních technologií celkem</t>
  </si>
  <si>
    <t xml:space="preserve"> - oblast informačních technologií</t>
  </si>
  <si>
    <t>3. Oblast kultury</t>
  </si>
  <si>
    <t>4. Oblast dopravy</t>
  </si>
  <si>
    <t>Radslavice - průtah</t>
  </si>
  <si>
    <t>Leština - Hrabišín</t>
  </si>
  <si>
    <t>hr.okr.Ustí nad O - křiž. II/446 před Hanušovicemi</t>
  </si>
  <si>
    <t>6. Oblast cestovního ruchu</t>
  </si>
  <si>
    <t>Oblast cestovního ruchu</t>
  </si>
  <si>
    <t>Oblast cestovního ruchu celkem</t>
  </si>
  <si>
    <t xml:space="preserve"> - oblast cestovního ruchu</t>
  </si>
  <si>
    <t>oblast cestovního ruchu</t>
  </si>
  <si>
    <t>odbor kancelář ředitele</t>
  </si>
  <si>
    <t>1635</t>
  </si>
  <si>
    <t>1638</t>
  </si>
  <si>
    <t>1645</t>
  </si>
  <si>
    <t>1656</t>
  </si>
  <si>
    <t>100824</t>
  </si>
  <si>
    <t>ORJ 59, UZ 16</t>
  </si>
  <si>
    <t>Gymnázium Jakuba Škody, Přerov, Komenského 29 - Výměna oken a oprava fasády historické budovy</t>
  </si>
  <si>
    <t>Střední škola, Základní škola a Mateřská škola Prof. V. Vejdovského - úprava venkovních ploch areálu, odloučené pracoviště SŠ Gorazdovo náměstí 1, Olomouc</t>
  </si>
  <si>
    <t>Gymnázium Olomouc-Hejčín - revitalizace sportovního areálu</t>
  </si>
  <si>
    <t>Bezbariérový přístup do SPŠ Hranice a rekonstrukce chemické laboratoře</t>
  </si>
  <si>
    <t>Modernizace učeben a vybavení pro odborný výcvik (Střední škola gastronomie a farmářství Jeseník, pracoviště Horní Heřmanice)</t>
  </si>
  <si>
    <t>Domov u Třebůvky Loštice – rekonstrukce bytových jader</t>
  </si>
  <si>
    <t>Domov důchodců Prostějov - Modernizace sociálních zařízení</t>
  </si>
  <si>
    <t>Vincentinum Šternberk, příspěvková organizace – rekonstrukce budovy ve Vikýřovicích</t>
  </si>
  <si>
    <t>Vypořádání staveb po jejich dokončení z minul. let - výkupy pozemků a jiné</t>
  </si>
  <si>
    <t xml:space="preserve">Štěpánov, křižovatka Březecká </t>
  </si>
  <si>
    <t>Štarnov - průtah</t>
  </si>
  <si>
    <t xml:space="preserve">Zvýšení přeshraniční dostupnosti Hanušovice – Stronie Ślaskie </t>
  </si>
  <si>
    <t>ZZS OK  - Čerpací stanice pro heliport Olomouc</t>
  </si>
  <si>
    <t>Zdravotnická záchranná služba OK - výstavba dvougaráže výjezdové základny v Hanušovicích</t>
  </si>
  <si>
    <t>SMN a.s. - o.z. Nemocnice Šternberk - Interní pavilon</t>
  </si>
  <si>
    <t>1639</t>
  </si>
  <si>
    <t>1641</t>
  </si>
  <si>
    <t>1642</t>
  </si>
  <si>
    <t>1657</t>
  </si>
  <si>
    <t>1660</t>
  </si>
  <si>
    <t>1661</t>
  </si>
  <si>
    <t>1663</t>
  </si>
  <si>
    <t>100130 + 000000</t>
  </si>
  <si>
    <t xml:space="preserve">a) Financováno z rozpočtu Olomouckého kraje </t>
  </si>
  <si>
    <t xml:space="preserve"> - oblast zdravotnictví - nájemné NOK</t>
  </si>
  <si>
    <t>101192</t>
  </si>
  <si>
    <t>101195</t>
  </si>
  <si>
    <t>101201</t>
  </si>
  <si>
    <t>a) akce zajišťované odborem investic</t>
  </si>
  <si>
    <t>c) SMN</t>
  </si>
  <si>
    <t>PO, ORJ 12</t>
  </si>
  <si>
    <t>Základní umělecká škola Litovel - Rekonstrukce budovy ZUŠ - 1. etapa</t>
  </si>
  <si>
    <t>Střední škola gastronomie a farmářství Jeseník - Výstavba jateční pořážky</t>
  </si>
  <si>
    <t>Domov pro seniory Červenka - Nadstavba a přístavba hospodářské budovy</t>
  </si>
  <si>
    <t>Domov pro seniory Červenka - Vybudování šaten pro zaměstnance</t>
  </si>
  <si>
    <t>Domov Na zámečku Rokytnice - Půdní vestavba</t>
  </si>
  <si>
    <t xml:space="preserve">Klíč – centrum sociálních služeb - Výstavba objektu pro osoby s poruchou autistického spektra </t>
  </si>
  <si>
    <t>III/37349 Ptení - obchvat</t>
  </si>
  <si>
    <t>II/150 Vícov - obchvat obce</t>
  </si>
  <si>
    <t>a) akce zajišťované odborem investic a odborem strategického rozvoje kraje</t>
  </si>
  <si>
    <t>Realizace energeticky úsporných opatření - SPŠ Hranice</t>
  </si>
  <si>
    <t>ORJ 52, UZ 88x</t>
  </si>
  <si>
    <t>Realizace energeticky úsporných opatření  – SOŠ Šumperk, Zemědělská 3 - tělocvična</t>
  </si>
  <si>
    <t>Švehlova střední škola polytechnická Prostějov – Centrum odborné přípravy pro obory polytechnického zaměření</t>
  </si>
  <si>
    <t>Transformace příspěvkové organizace Nové Zámky – poskytovatel sociálních služeb - III. Etapa</t>
  </si>
  <si>
    <t>Transformace příspěvkové organizace Nové Zámky – poskytovatel sociálních služeb - IV. Etapa</t>
  </si>
  <si>
    <t>Muzeum Komenského v Přerově – Záchrana a zpřístupnění paláce na hradě Helfštýn</t>
  </si>
  <si>
    <t>Realizace depozitáře pro Vědeckou knihovnu v Olomouci</t>
  </si>
  <si>
    <t>Muzeum Komenského v Přerově – rekonstrukce budovy ORNIS</t>
  </si>
  <si>
    <t>Ohrozim - obchvat</t>
  </si>
  <si>
    <t>Prostějov - přeložka silnice II/366 od Tesca</t>
  </si>
  <si>
    <t>Mohelnice - křížení s železniční tratí</t>
  </si>
  <si>
    <t>II/449 MÚK Unčovice - Litovel</t>
  </si>
  <si>
    <t>II/150 Prostějov - Přerov</t>
  </si>
  <si>
    <t>II/570 Slatinice - Olomouc</t>
  </si>
  <si>
    <t>II/447 Strukov - Šternberk</t>
  </si>
  <si>
    <t>II/150 hr. kraje - Prostějov</t>
  </si>
  <si>
    <t>II/150 Přerov - jihozápadní obchvat, přeložka</t>
  </si>
  <si>
    <t>ZZS OK - Výstavba nových výjezdových základen - Uničov</t>
  </si>
  <si>
    <t>ZZS OK - Výstavba nových výjezdových základen – Jeseník</t>
  </si>
  <si>
    <t>Obnova zahrady Zdravotnického zařízení v Moravském Berouně</t>
  </si>
  <si>
    <t xml:space="preserve">Česko-polská Hřebenovká – východní část </t>
  </si>
  <si>
    <t>Specifické informační systémy Krajského úřadu Olomouckého kraje</t>
  </si>
  <si>
    <t xml:space="preserve"> - SMN</t>
  </si>
  <si>
    <t>Orj 18</t>
  </si>
  <si>
    <t>1650</t>
  </si>
  <si>
    <t>1653</t>
  </si>
  <si>
    <t>1658</t>
  </si>
  <si>
    <t>ORJ 19, UZ 10, POL 5331</t>
  </si>
  <si>
    <t>PO, UZ 11, POL 5331</t>
  </si>
  <si>
    <t>ORJ 19, UZ 10, POL 6351</t>
  </si>
  <si>
    <t>PO, UZ 11, POL 6351</t>
  </si>
  <si>
    <t>1640</t>
  </si>
  <si>
    <t>1652</t>
  </si>
  <si>
    <t>1654</t>
  </si>
  <si>
    <t>1659</t>
  </si>
  <si>
    <t>PO, UZ 13, POL 5331</t>
  </si>
  <si>
    <t>PO, UZ 13, POL 6351</t>
  </si>
  <si>
    <t>ORJ 19, UZ 14, POL 6351</t>
  </si>
  <si>
    <t>Účelové dotace</t>
  </si>
  <si>
    <t>Orj 01</t>
  </si>
  <si>
    <t>Zapojení KB</t>
  </si>
  <si>
    <t>RU - Skutečnost</t>
  </si>
  <si>
    <t>akce zajišťované odborem investic</t>
  </si>
  <si>
    <t>c) akce zajišťované odborem majetkovým, právním a správních činností</t>
  </si>
  <si>
    <t>Investiční výdaje odborů celkem</t>
  </si>
  <si>
    <t xml:space="preserve">Oblast zdravotnictví </t>
  </si>
  <si>
    <t>SMN</t>
  </si>
  <si>
    <t xml:space="preserve"> - projekty spolufinancované</t>
  </si>
  <si>
    <t>b) Projekty spolufinancované z evropských a národních fondů</t>
  </si>
  <si>
    <t xml:space="preserve">Rekapitulace dle financovaných oblastí: </t>
  </si>
  <si>
    <t>akce hrazené z rozpočtu OK</t>
  </si>
  <si>
    <t>projekty spolufinancované z EF a NF</t>
  </si>
  <si>
    <t>akce hrazené z nájemného SMN</t>
  </si>
  <si>
    <t xml:space="preserve">Rekapitulace dle zdrojů financování: </t>
  </si>
  <si>
    <t>hrazené z rozpočtu OK</t>
  </si>
  <si>
    <t>hrazené z účelových dotací</t>
  </si>
  <si>
    <t>101293</t>
  </si>
  <si>
    <t>101296</t>
  </si>
  <si>
    <t>101299</t>
  </si>
  <si>
    <t>101300</t>
  </si>
  <si>
    <t>101302</t>
  </si>
  <si>
    <t>101304</t>
  </si>
  <si>
    <t>101327</t>
  </si>
  <si>
    <t>101348</t>
  </si>
  <si>
    <t>101349</t>
  </si>
  <si>
    <t>1631</t>
  </si>
  <si>
    <t>PO, Pol 5331</t>
  </si>
  <si>
    <t>PO, Pol 6351</t>
  </si>
  <si>
    <t>ORJ 6</t>
  </si>
  <si>
    <t>odbor informačních technologií</t>
  </si>
  <si>
    <t>Orj 06</t>
  </si>
  <si>
    <t>Střední zdravotnická škola, Nová 1820, Hranice - Stavební úpravy kuchyně</t>
  </si>
  <si>
    <t>Střední odborná škola lesnická a strojírenská Šternberk - Rozšíření kapacity dílen odborného výcviku</t>
  </si>
  <si>
    <t>Střední škola gastronomie a farmářství Jeseník - Pracoviště odborného výcviku cukrárny a pekány</t>
  </si>
  <si>
    <t xml:space="preserve">Gymnázium, Olomouc - Hejčín, Tomkova 45 - Elektroinstalace na budově A a C </t>
  </si>
  <si>
    <t>Střední škola zemědělská, Přerov, Osmek 47 - Komunikace v areálu školy</t>
  </si>
  <si>
    <t>Střední škola železniční, technická a služeb, Šumperk - dílny</t>
  </si>
  <si>
    <t>Střední škola gastronomie a farmářství Jeseník - Rekonstrukce umýváren starého domova mládeže</t>
  </si>
  <si>
    <t>Švehlova střední škola polytechnická, Prostějov – rekonstrukce stravovacího provozu</t>
  </si>
  <si>
    <t>Dětský domov a Školní jídelna Prostějov - Komunikace</t>
  </si>
  <si>
    <t>Centrum Dominika Kokory, příspěvková organizace - Koupelny a WC na pracovišti Dřevohostice</t>
  </si>
  <si>
    <t>Domov seniorů POHODA Chválkovice, příspěvková organizace - Revitalizace parkové úpravy</t>
  </si>
  <si>
    <t xml:space="preserve">Domov "Na Zámku“, příspěvková organizace - Vybudování výtahu </t>
  </si>
  <si>
    <t>Domov Alfreda Skeneho Pavlovice u Přerova, příspěvková organizace - Stavební úpravy pokojů a sociálních zařízení – budova Marie</t>
  </si>
  <si>
    <t>Domov Alfreda Skeneho Pavlovice u Přerova, příspěvková organizace - Stavební úpravy pokojů a sociálních zařízení – budova Eliška</t>
  </si>
  <si>
    <t>Centrum Dominika Kokory, příspěvková organizace - Střešní krytina, tepelné izolace a oprava uliční fasády - budova Kokory</t>
  </si>
  <si>
    <t>Domov Alfreda Skeneho Pavlovice u Přerova, příspěvková organizace - Stavební úpravy pokojů a sociálních zařízení – budova Zámku</t>
  </si>
  <si>
    <t>Transformace příspěvkové organizace Nové Zámky – poskytovatel sociálních služeb - V.etapa -  novostavba RD Medlov – Králová</t>
  </si>
  <si>
    <t>Transformace příspěvkové organizace Nové Zámky – poskytovatel sociálních služeb - V.etapa -  novostavba RD Náměšť na Hané</t>
  </si>
  <si>
    <t>II/440 Hranice severovýchodní obchvat</t>
  </si>
  <si>
    <t>Dětské centrum Ostrůvek - Přestavba budovy C na zařízení rodinného typu</t>
  </si>
  <si>
    <t>Odborný léčebný ústav Paseka, příspěvková organizace - Modernizace lůžkových odd. pavilonu 2 s rekonstrukcí schodiště a výtahu na evakuační.</t>
  </si>
  <si>
    <t>Odborný léčebný ústav, Paseka  - Modernizace lůžkového fondu pavilonu A</t>
  </si>
  <si>
    <t>Mateřská škola, Blanická 16, Olomouc</t>
  </si>
  <si>
    <t>Základní škola, Šternberská 456, Uničov</t>
  </si>
  <si>
    <t>Základní škola a Mateřská škola Jeseník, Fučíkova 312</t>
  </si>
  <si>
    <t>Gymnázium, Horní náměstí 5,  Šternberk</t>
  </si>
  <si>
    <t>Gymnázium, Gymnazijní 257, 783 91 Uničov</t>
  </si>
  <si>
    <t>Střední škola zemědělská, Přerov I – Město, Osmek 367/47</t>
  </si>
  <si>
    <t>Střední škola logistiky a chemie, U Hradiska 29, Olomouc</t>
  </si>
  <si>
    <t>Střední škola sociální péče a služeb, nám. 8. května č. 2, Zábřeh</t>
  </si>
  <si>
    <t>Střední průmyslová škola strojnická Olomouc, 17. listopadu 995/49</t>
  </si>
  <si>
    <t xml:space="preserve">Švehlova střední škola polytechnická, nám. Spojenců 17, Prostějov </t>
  </si>
  <si>
    <t>Střední lesnická škola, Jurikova 588, Hranice</t>
  </si>
  <si>
    <t>Střední odborná škola, Zemědělská 3, Šumperk</t>
  </si>
  <si>
    <t>Střední škola železniční, technická a služeb, Šumperk, Gen.Krátkého 30</t>
  </si>
  <si>
    <t>Střední odborná škola a Střední odborné učiliště strojírenské a stavební, Dukelská 1240, Jeseník</t>
  </si>
  <si>
    <t>Střední zdravotnická škola a Vyšší odborná škola zdravotnická Emanuela Pöttinga a Jazyková škola s právem státní jazykové zkoušky, Pöttingova 2, Olomouc</t>
  </si>
  <si>
    <t>Hotelová škola Vincenze Priessnitze a Obchodní akademie Jeseník, Dukelská 680, Jeseník</t>
  </si>
  <si>
    <t>Střední odborná škola obchodu a služeb, Štursova 14, Olomouc</t>
  </si>
  <si>
    <t>Střední odborná škola lesnická a strojírenská, Opavská 8, Šternberk</t>
  </si>
  <si>
    <t>Střední škola gastronomie a farmářství, U Jatek 916/8, Jeseník</t>
  </si>
  <si>
    <t>Domov pro seniory Červenka, Nádražní 105, Červenka</t>
  </si>
  <si>
    <t>Sociální služby pro seniory Olomouc, Zikova 14, Olomouc</t>
  </si>
  <si>
    <t>Klíč - centrum sociálních služeb, Dolní hejčínská 50/28, Olomouc</t>
  </si>
  <si>
    <t>Nové Zámky - poskytovatel sociálních služeb, Nové Zámky 2, Litovel</t>
  </si>
  <si>
    <t>Sociální služby pro seniory Šumperk, U Sanatoria 25, Šumperk</t>
  </si>
  <si>
    <t>Domov Paprsek Olšany, Olšany 105</t>
  </si>
  <si>
    <t>Domov seniorů Prostějov, Nerudova 70, Prostějov</t>
  </si>
  <si>
    <t>Domov "Na Zámku", nám. děkana Františka Kvapila 17, Nezamyslice</t>
  </si>
  <si>
    <t>Centrum sociálních služeb, Lidická 86, Prostějov</t>
  </si>
  <si>
    <t>Domov pro seniory, Radkova Lhota 16, Dřevohostice</t>
  </si>
  <si>
    <t>Domov Alfreda Skeneho, Pavlovice u Přerova 95</t>
  </si>
  <si>
    <t>Centrum Dominika Kokory, Kokory 54</t>
  </si>
  <si>
    <t>Domov pro seniory Javorník, Školní 104, Javorník</t>
  </si>
  <si>
    <t>Domov seniorů POHODA, Švabinského 3, Olomouc - Chválkovice</t>
  </si>
  <si>
    <t>Vincentinum - poskytovatel sociálních služeb Šternberk, Sadová 7, Šternberk</t>
  </si>
  <si>
    <t>Domov pro seniory Jesenec, Jesenec 1</t>
  </si>
  <si>
    <t>Domov pro seniory Tovačov, Nádražní 94, Tovačov I-Město</t>
  </si>
  <si>
    <t>Domov Větrný mlýn Skalička, Skalička 1</t>
  </si>
  <si>
    <t>Domov Na zámečku Rokytnice, U Rybníčka 1, Rokytnice</t>
  </si>
  <si>
    <t>Vlastivědné muzeum v Olomouci, nám. Republiky 5/6, Olomouc</t>
  </si>
  <si>
    <t>Vlastivědné muzeum Jesenicka, příspěvková organizace, Zámecké nám. 1, Jeseník</t>
  </si>
  <si>
    <t>Muzeum a galerie v Prostějově, příspěvková organizace, nám. T.G. Masaryka 2, Prostějov</t>
  </si>
  <si>
    <t>Muzeum Komenského v Přerově, příspěvková organizace, Horní náměstí 7, Přerov</t>
  </si>
  <si>
    <t>Vlastivědné muzeum v Šumperku, příspěvková organizace, Hlavní tř. 22, Šumperk</t>
  </si>
  <si>
    <t>Archeologické centrum Olomouc, příspěvková organizace, U Hradiska 42/6, Olomouc</t>
  </si>
  <si>
    <t>Vědecká knihovna v Olomouci, Bezručova 1180/3, Olomouc</t>
  </si>
  <si>
    <t>Správa silnic Olomouckého kraje, Lipenská 120, Olomouc</t>
  </si>
  <si>
    <t>Odborný léčebný ústav, Paseka 145</t>
  </si>
  <si>
    <t>Zdravotnická záchranná služba Olomouckého kraje, Aksamitova 8, Olomouc</t>
  </si>
  <si>
    <t>ORJ 50, UZ 896/897</t>
  </si>
  <si>
    <t>ORJ 50, UZ 110595113/110595823</t>
  </si>
  <si>
    <t>Šternberk – průtah</t>
  </si>
  <si>
    <t>II/448 Olomouc - přeložka silnice (I. a II. etapa)</t>
  </si>
  <si>
    <t>101343</t>
  </si>
  <si>
    <t>ORJ 52, UZ 893</t>
  </si>
  <si>
    <t>ORJ 52, UZ 893/894</t>
  </si>
  <si>
    <t>akce zajišťované odborem strategického rozvoje kraje</t>
  </si>
  <si>
    <t>Oblast životního prostředí</t>
  </si>
  <si>
    <t>Oblast životního prostředí celkem</t>
  </si>
  <si>
    <t xml:space="preserve"> - oblast životního prostředí</t>
  </si>
  <si>
    <t>akce zajišťované odborem investic a odborem strategického rozvoje kraje</t>
  </si>
  <si>
    <t>ORJ 59, UZ 106515011</t>
  </si>
  <si>
    <t>ORJ 19 UZ 880/883</t>
  </si>
  <si>
    <t>Revolving KB (600)</t>
  </si>
  <si>
    <t>Úvěr KB (100)</t>
  </si>
  <si>
    <r>
      <t>Rozpočet OK</t>
    </r>
    <r>
      <rPr>
        <b/>
        <sz val="8"/>
        <rFont val="Arial"/>
        <family val="2"/>
        <charset val="238"/>
      </rPr>
      <t xml:space="preserve"> (bez dotace)</t>
    </r>
  </si>
  <si>
    <t>hrazené z revolvingu KB (600 mil. Kč)</t>
  </si>
  <si>
    <t>hrazené z úvěru KB (100 mil. Kč)</t>
  </si>
  <si>
    <t>PPF</t>
  </si>
  <si>
    <t>Zapojení PPF</t>
  </si>
  <si>
    <t>Úvěr KB (100 mil. Kč)</t>
  </si>
  <si>
    <t>REÚO Střední škola a Základní škola Lipník nad Bečvou - přístavby školy + oprava fasády přední části budovy - a) zateplení</t>
  </si>
  <si>
    <t>Realizace energeticky úsporných opatření – SŠ technická a zemědělská Mohelnice b) vzduchotechnika</t>
  </si>
  <si>
    <t>REÚO – OA Mohelnice – budovy internátu a jídelna</t>
  </si>
  <si>
    <t>PPP a SPC Olomouckého kraje - zvýšení kvality služeb a kapacity centra - PPP Jeseník</t>
  </si>
  <si>
    <t>SŠ, ZŠ a MŠ Prostějov, Komenského 10 - Bezbariérové užívání objektu ZŠ</t>
  </si>
  <si>
    <t>ZŠ Šternberk, Olomoucká 76 - Green Class</t>
  </si>
  <si>
    <t>Transformace příspěvkové organizace Nové Zámky – poskytovatel sociálních služeb - III.etapa - RD Litovel, ul. Pavlínka 1141</t>
  </si>
  <si>
    <t xml:space="preserve">Transformace příspěvkové organizace Nové Zámky – poskytovatel sociálních služeb - III.etapa - RD Červenka 338, </t>
  </si>
  <si>
    <t xml:space="preserve">Transformace příspěvkové organizace Nové Zámky – poskytovatel sociálních služeb - III.etapa - RD Červenka 361, </t>
  </si>
  <si>
    <t>Transformace příspěvkové organizace Nové Zámky – poskytovatel sociálních služeb - III.etapa - Litovel, Rybníček 44</t>
  </si>
  <si>
    <t>Transformace příspěvkové organizace Nové Zámky – poskytovatel sociálních služeb - III.etapa - Litovel, Rybníček 45</t>
  </si>
  <si>
    <t>Transformace příspěvkové organizace Nové Zámky – poskytovatel sociálních služeb - IV.etapa - novostavba RD Zábřeh, Malá Strana</t>
  </si>
  <si>
    <t>SMN a. s. – o. z. Nemocnice Šternberk – Parkovací plochy</t>
  </si>
  <si>
    <t>Střední škola zemědělská a zahradnická, U Hradiska 4, Olomouc</t>
  </si>
  <si>
    <t>oblast životního prostředí</t>
  </si>
  <si>
    <t>101167</t>
  </si>
  <si>
    <t>101337</t>
  </si>
  <si>
    <t>101404</t>
  </si>
  <si>
    <t>101405</t>
  </si>
  <si>
    <t>101406</t>
  </si>
  <si>
    <t>101408</t>
  </si>
  <si>
    <t>101409</t>
  </si>
  <si>
    <t>101410</t>
  </si>
  <si>
    <t>101412</t>
  </si>
  <si>
    <t>101413</t>
  </si>
  <si>
    <t>101415</t>
  </si>
  <si>
    <t>1637</t>
  </si>
  <si>
    <t>Střední škola polytechnická, Olomouc - Rekonstrukce domova mládeže</t>
  </si>
  <si>
    <t>Střední škola zemědělská, Přerov – Osmek – Vybudování zázemí pro odborný výcvik</t>
  </si>
  <si>
    <t>Střední průmyslová škola a Střední odborné učiliště Uničov - Tělocvična</t>
  </si>
  <si>
    <t>Střední průmyslová škola Jeseník, Dukelská 1240 - Kotelna v areálu dílen odborné výuky</t>
  </si>
  <si>
    <t>Střední průmyslová škola Jeseník, Dukelská 1240 - Rekonstrukce rozvodů areálu dílen praktické výuky</t>
  </si>
  <si>
    <t>Střední odborná škola a Střední odborné učiliště strojírenské a stavební, Jeseník, Dukelská 1240 - Výměna výtahu v budově dílen odborné výuky</t>
  </si>
  <si>
    <t>Střední škola gastronomie a farmářství Jeseník - Zázemí tělocvičny školy -  pracoviště  Horní Heřmanice</t>
  </si>
  <si>
    <t>Střední škola gastronomie a farmářství Jeseník - Rekonstrukce kotelny</t>
  </si>
  <si>
    <t>Základní škola a Mateřská škola logopedická Olomouc -  Koridor školy a átrium</t>
  </si>
  <si>
    <t>Základní škola Šternberk, Olomoucká 76 - Zateplení budovy a instalace řízeného větrání - a) zateplení</t>
  </si>
  <si>
    <t>Vyšší odborná škola a Střední průmyslová škola elektrotechnická, Olomouc, Božetěchova 3 - Rekonstrukce šaten střední školy</t>
  </si>
  <si>
    <t>Střední zdravotnická škola a Vyšší odborná škola zdravotnická Emanuela Pöttinga a Jazyková škola s právem státní jazykové zkoušky Olomouc - Rekonstrukce střechy nad tělocvičnou</t>
  </si>
  <si>
    <t xml:space="preserve">Střední škola polygrafická, Olomouc, Střední novosadská 87/53 - Rekonstrukci šaten v budově teoretické výuky v 1.NP </t>
  </si>
  <si>
    <t xml:space="preserve">Střední odborná škola obchodu a služeb, Olomouc, Štursova 14 - Rekonstrukce sportovního areálu </t>
  </si>
  <si>
    <t>Gymnázium, Kojetín, Svatopluka Čecha 683 - Školní hřiště</t>
  </si>
  <si>
    <t>Střední průmyslová škola, Přerov, Havlíčkova 2 - Modernizace odborných učeben fyziky</t>
  </si>
  <si>
    <t xml:space="preserve">Střední průmyslová škola, Přerov, Havlíčkova 2 - Střecha - severní část budovy SPŠ Přerov </t>
  </si>
  <si>
    <t xml:space="preserve">Střední průmyslová škola, Přerov, Havlíčkova 2 - Výměna oken v budově "B" </t>
  </si>
  <si>
    <t>Střední škola gastronomie a služeb, Přerov, Šířava 7 - Školní hřiště</t>
  </si>
  <si>
    <t>Střední škola zemědělská, Přerov, Osmek 47 - Komunikace v areálu školy - 2. etapa</t>
  </si>
  <si>
    <t>Střední škola zemědělská, Přerov, Osmek 47 - Výměna oken a vstupních dveří v hlavní budově školy</t>
  </si>
  <si>
    <t>Odborné učiliště a Základní škola, Křenovice - Sociální zařízení na školní zahradě</t>
  </si>
  <si>
    <t>Obchodní akademie, Prostějov, Palackého 18 - Odizolování budovy proti vlhkosti</t>
  </si>
  <si>
    <t>Střední škola, Základní škola a Mateřská škola Šumperk, Hanácká 3 - Rekonstrukce elektroinstalace</t>
  </si>
  <si>
    <t>Střední škola, Základní škola a Mateřská škola Šumperk, Hanácká 3 - Oprava střechy</t>
  </si>
  <si>
    <t xml:space="preserve">Střední škola, Základní škola, Mateřská škola a Dětský domov Zábřeh - Vybudování sportovního hřiště </t>
  </si>
  <si>
    <t>Vyšší odborná škola a Střední průmyslová škola, Šumperk, Gen. Krátkého 1 - Rozšíření a výměna datové sítě a silnoproudých rozvodů</t>
  </si>
  <si>
    <t>Vyšší odborná škola a Střední průmyslová škola, Šumperk, Gen. Krátkého 1 - Rekonstrukce Domova mládeže U Sanatoria 1</t>
  </si>
  <si>
    <t>Střední odborná škola, Šumperk, Zemědělská 3 - Rekonstrukce střechy nad jídelnou</t>
  </si>
  <si>
    <t>Střední zdravotnická škola, Šumperk, Kladská 2 - Domov mládeže</t>
  </si>
  <si>
    <t>Střední škola technická a zemědělská Mohelnice - Výstavba nových dílen</t>
  </si>
  <si>
    <t>Slovanské gymnázium, Olomouc, tř. Jiřího z Poděbrad 13 - Změna tělocvičny na víceúčelový sál</t>
  </si>
  <si>
    <t>Střední odborná škola, Šumperk, Zemědělská 3 – venkovní kanalizace</t>
  </si>
  <si>
    <t>Transformace příspěvkové organizace Nové Zámky - poskytovatel sociálních služeb - II.etapa - novostavba RD Drahanovice</t>
  </si>
  <si>
    <t>Domov Hrubá Voda, příspěvková organizace - Výměna výtahu</t>
  </si>
  <si>
    <t>Centrum sociálních služeb Prostějov, p.o. - Výměna výtahu SO-02</t>
  </si>
  <si>
    <t>Centrum Dominika Kokory, příspěvková organizace - Přístupová cesta na zahradu</t>
  </si>
  <si>
    <t>Domov pro seniory Červenka, příspěvková organizace - Přístavba - oddělení Litovel</t>
  </si>
  <si>
    <t>Domov Štíty-Jedlí, příspěvková organizace - Klimatizace</t>
  </si>
  <si>
    <t xml:space="preserve">Domov Větrný mlýn Skalička, příspěvková organizace - Opravy stropů </t>
  </si>
  <si>
    <t>Domov Větrný mlýn Skalička, příspěvková organizace - Rekonstrukce střechy a půdních prostor</t>
  </si>
  <si>
    <t>Domov Štíty-Jedlí, příspěvková organizace - Rekonstrukce a přístavba Domova Štíty</t>
  </si>
  <si>
    <t>Domov pro seniory Javorník - Novostavba Kobylá nad Vidnávkou</t>
  </si>
  <si>
    <t>II/369 Ostružná – Branná – rekonstrukce komunikace</t>
  </si>
  <si>
    <t>III/44429 Šternberk, Hvězdné údolí, II. etapa</t>
  </si>
  <si>
    <t>Cyklostezky Olomouckého kraje</t>
  </si>
  <si>
    <t>Cyklostezky Olomouckého kraje - 06 Horní Lipová - Ramzová - Ostružná</t>
  </si>
  <si>
    <t>OLÚ Paseka – hospodaření se srážkovými vodami (Paseka)</t>
  </si>
  <si>
    <t>OLÚ Paseka – hospodaření se srážkovými vodami (Moravský Beroun)</t>
  </si>
  <si>
    <t>ORJ 52, UZ 15, 17, 23</t>
  </si>
  <si>
    <t>ORJ 59, UZ 88x</t>
  </si>
  <si>
    <t>ORJ 59, UZ 89x</t>
  </si>
  <si>
    <t>ORJ 50, UZ 89x</t>
  </si>
  <si>
    <t>ORJ 19 UZ 88x</t>
  </si>
  <si>
    <t>ORJ 12, UZ 88x</t>
  </si>
  <si>
    <t>SŠ, ZŠ, MŠ a DD Zábřeh - bezbariérový přístup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</si>
  <si>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</si>
  <si>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</si>
  <si>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</si>
  <si>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</si>
  <si>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Pořízení strojního vybavení a zajištění bezbariérovosti na OU a PrŠ Lipová-lázně</t>
  </si>
  <si>
    <t>Podpora rozvoje cestovního ruchu v Olomouckém kraji II</t>
  </si>
  <si>
    <t>Podpora biodiverzity v Olomouckém kraji - péče o vybrané evropsky významné lokality</t>
  </si>
  <si>
    <t>Hospodaření se srážkovými vodami v intravilánu příspěvkových organizací Olomouckého kraje III</t>
  </si>
  <si>
    <t>Základní škola, Dětský domov a Školní jídelna, Palackého 938, Litovel</t>
  </si>
  <si>
    <t>Slovanské gymnázium, tř. J. z Poděbrad 13,  Olomouc</t>
  </si>
  <si>
    <t>Gymnázium, Tomkova 45, 779 00 Olomouc - Hejčín</t>
  </si>
  <si>
    <t>Gymnázium Jiřího Wolkera, Kollárova 3,  Prostějov</t>
  </si>
  <si>
    <t>Gymnázium Jakuba Škody, Komenského 29,  Přerov</t>
  </si>
  <si>
    <t>Střední škola gastronomie a služeb, Šířava 7, Přerov</t>
  </si>
  <si>
    <t>Střední průmyslová škola elektrotechnická a Obchodní akademie Mohelnice, Gen. Svobody 2, Mohelnice</t>
  </si>
  <si>
    <t>Obchodní akademie, tř. Spojenců 11, Olomouc</t>
  </si>
  <si>
    <t>Dětský domov a Školní jídelna, Purgešova 847, Hranice</t>
  </si>
  <si>
    <t>Střední škola, Základní škola a Mateřská škola Lipník nad Bečvou, Osecká 301</t>
  </si>
  <si>
    <t>Střední odborná škola, Komenského 677, Litovel</t>
  </si>
  <si>
    <t>Základní umělecká škola Iši Krejčího, Na Vozovce 32/246, Olomouc</t>
  </si>
  <si>
    <t>Dětský domov Šance, U sportovní haly 1a/544, Olomouc</t>
  </si>
  <si>
    <t>Domov  Hrubá Voda, Hrubá Voda  11, Hlubočky</t>
  </si>
  <si>
    <t>Dětské centrum Ostrůvek, U dětského domova 269, Olomouc</t>
  </si>
  <si>
    <t>101403</t>
  </si>
  <si>
    <t>Centrum sociálních služeb Prostějov, p.o. - Rekonstrukce budov pro pečovatelskou službu</t>
  </si>
  <si>
    <t>Transformace příspěvkové organizace Nové Zámky - poskytovatel sociálních služeb - II.etapa - novostavba RD Měrotín</t>
  </si>
  <si>
    <t>bez DPH</t>
  </si>
  <si>
    <t>ORJ 19 UZ 123</t>
  </si>
  <si>
    <t>Střední škola technická, Přerov, Kouřílkova 8 - Energeticky úsporná opatření - tělocvična - a) zateplení</t>
  </si>
  <si>
    <t>100979</t>
  </si>
  <si>
    <t>101139</t>
  </si>
  <si>
    <t>101289</t>
  </si>
  <si>
    <t>101294</t>
  </si>
  <si>
    <t>101295</t>
  </si>
  <si>
    <t>101461</t>
  </si>
  <si>
    <t>101462</t>
  </si>
  <si>
    <t>101463</t>
  </si>
  <si>
    <t>6. Oblast krizového řízení</t>
  </si>
  <si>
    <t>7. Investiční výdaje odborů</t>
  </si>
  <si>
    <t>1644</t>
  </si>
  <si>
    <t>ORJ 59, UZ 893</t>
  </si>
  <si>
    <t>Podpora rozvoje cestovního ruchu v Olomouckém kraji III</t>
  </si>
  <si>
    <t>9. Oblast územního plánování</t>
  </si>
  <si>
    <t>Oblast územního plánování celkem</t>
  </si>
  <si>
    <t xml:space="preserve"> - oblast územního plánování</t>
  </si>
  <si>
    <t>Oblast územního plánování</t>
  </si>
  <si>
    <t>7. Oblast informačních technologií</t>
  </si>
  <si>
    <t>8. Oblast životního prostředí</t>
  </si>
  <si>
    <t>ORJ 19 UZ 88x POL 5331</t>
  </si>
  <si>
    <t>ORJ 19 UZ 123 POL 6351</t>
  </si>
  <si>
    <t>ORJ 19 UZ 123 POL 5331</t>
  </si>
  <si>
    <t>ORJ 19 UZ 88x POL 6351</t>
  </si>
  <si>
    <t>ORJ 19 UZ 880/883 POL 5331</t>
  </si>
  <si>
    <t>ORJ 19 UZ 880/883 POL 6351</t>
  </si>
  <si>
    <t>ORJ 3</t>
  </si>
  <si>
    <t>ORJ 03</t>
  </si>
  <si>
    <t>ORJ 06</t>
  </si>
  <si>
    <t xml:space="preserve"> - Nákup osobních vozidel, Rekonstrukce fasády, výměna oken, montáž příčky v budově RCO, montáž infra reflektorů u vjezdu na parkoviště a do garáže, výroba a montáž příček v budově KÚOK, výroba a montáž zábradlí, instalace kamer pro čtení RZ</t>
  </si>
  <si>
    <t xml:space="preserve"> - Pořízení modulu Docházka, multilicence EKRAN Systém, SW pro převod dokumentů do multifunkčních tiskáren, navýšení počtu uživatelských licencí pro FormFlow Server, webová aplikace CSA, SW implementace PKI, produkty VMware - licence, produkty Microsoft – SQL</t>
  </si>
  <si>
    <t xml:space="preserve"> - Dodávka diskového pole + pořízení Rack PDU, pořízení 3 ks serverů pro virtualizaci, notebook HP Elite Dragonfly, server LENOVO, bateriový blok SYBTU2-PLP, videokonferenční set Logitech Rally Plus</t>
  </si>
  <si>
    <t>Odkup pozemku v k. ú. Rokytnice u Přerova do vlastnictví Olomouckého kraje do hospodaření Domova Na zámečku Rokytnice a transformace příspěvkové organizace Nové Zámky – poskytovatel sociálních služeb – V. etapa</t>
  </si>
  <si>
    <t>Odkupy pozemků (znalecké posudky) - k.ú. a obci Rapotín, k.ú. a obci Přerov</t>
  </si>
  <si>
    <t>Odkupy pozemků - v k.ú. Přerov do vlastnictví Olomouckého kraje, do hospodaření Muzea Komenského v Přerově</t>
  </si>
  <si>
    <t>Odkupu pozemku v k.ú. a obci Litovel - výstavba výjezdové základy Zdravotnické záchranné služby Olomouckého kraje</t>
  </si>
  <si>
    <t>Obchodní akademie, Mohelnice, Olomoucká 82 - výměna elektrických rozvodů</t>
  </si>
  <si>
    <t>Modernizace školních dílen jako centrum odborné přípravy – stavební část (Sigmundova střední škola strojírenská , Lutín)</t>
  </si>
  <si>
    <t>Střední škola technická a obchodní, Olomouc, Kosinova 4 – Centrum odborné přípravy technických oborů (COPTO)</t>
  </si>
  <si>
    <t>PPP a SPC Olomouckého kraje - zvýšení kvality služeb a kapacity centra - PPP Olomouc, U Sportovní haly 1a</t>
  </si>
  <si>
    <t>PPP a SPC Olomouckého kraje - zvýšení kvality služeb a kapacity centra - SPC Olomouc, 17. listopadu 43</t>
  </si>
  <si>
    <t>DDM Olomouc – REÚO budovy Jánského 1</t>
  </si>
  <si>
    <t>Hotelová škola Vincenze Priessnitze a Obchodní akademie Jeseník - Odizolvání obvodu  budovy "Staré školy"</t>
  </si>
  <si>
    <t>Základní škola Uničov, Šternberská 456 - Odstranění vlhkosti budovy</t>
  </si>
  <si>
    <t>Střední škola zemědělská a zahradnická, Olomouc, U Hradiska 4 - Rekonstrukce toalet</t>
  </si>
  <si>
    <t>Gymnázium Jana Blahoslava a Střední pedagogická škola, Přerov, Denisova 3 - Rekonstrukce elektroinstalace na budově SPgŠ</t>
  </si>
  <si>
    <t>ORG 60001101469 Dětský domov a Školní jídelna, Plumlov, Balkán 333 – střecha DD</t>
  </si>
  <si>
    <t>Střední lesnická škola, Hranice, Jurikova 588 - výměna oken na staré budově</t>
  </si>
  <si>
    <t>SŠ a ZŠ Lipník nad Bečvou – Zateplení přední fasády hlavní budovy</t>
  </si>
  <si>
    <t>REÚO – SPŠ Hranice - Internát</t>
  </si>
  <si>
    <t>Penzion pro důchodce Loštice - zateplení 1. PP</t>
  </si>
  <si>
    <t xml:space="preserve">Centrum Dominika Kokory, p. o. – rekonstrukce budovy </t>
  </si>
  <si>
    <t>Klíč - centrum sociálních služeb, příspěvková organizace - Sociální zařízení a elektroinstalace</t>
  </si>
  <si>
    <t>Centrum Dominika Kokory, příspěvková organizace - Střešní krytina a tepelná izolace - budova Dřevohostice</t>
  </si>
  <si>
    <t>Domov Na zámečku Rokytnice, příspěvková organizace - Vybudování sociálního zařízení</t>
  </si>
  <si>
    <t>Domov Sněženka Jeseník - Vybudování 6 nových pokojů – 2. etapa</t>
  </si>
  <si>
    <t>CSS Prostějov - Nová budova domova pro seniory</t>
  </si>
  <si>
    <t>Domov Větrný mlýn Skalička - Revitalizace rybníka</t>
  </si>
  <si>
    <t>Vlastivědné muzeum Jesenicka - Rekonstrukce Vodní tvrze</t>
  </si>
  <si>
    <t>Muzeum Komenského v Přerově - stavební úpravy depozitáře knihovny v budově Horní nám.č.35, Přerov</t>
  </si>
  <si>
    <t>Vlastivědné muzeum Jesenicka - statické zabezpečení vodní tvrze</t>
  </si>
  <si>
    <t>Muzeum a galerie  v Prostějově - Červený domek Petra Bezruče v Kostelci na Hané</t>
  </si>
  <si>
    <t>Vlastivědné muzeum v Olomouci - Rekonstrukce krovů v budově VMO a oprava římsy nad parkánem</t>
  </si>
  <si>
    <t>Vědecká knihovna v Olomouci - stavební úpravy objektu Červeného kostela</t>
  </si>
  <si>
    <t xml:space="preserve">Muzeum a galerie v Prostějově - Přístavba depozitáře </t>
  </si>
  <si>
    <t>Vlastivědné muzeum v Olomouci - Revitalizace vodních prvků v zámeckém parku Čechy pod Kosířem</t>
  </si>
  <si>
    <t xml:space="preserve">Vlastivědné muzeum v Olomouci - Zastřešení atria </t>
  </si>
  <si>
    <t>Vlastivědné muzeum v Olomouci – statické zajištění depozitáře v Denisově ulici</t>
  </si>
  <si>
    <t>II/367 Bedihošť - Kojetín</t>
  </si>
  <si>
    <t>Kozlovice - průtah</t>
  </si>
  <si>
    <t>Cyklostezky Olomouckého kraje – 12.04 Spojnice Zábřeh-Lesnice (III-3701) až spojnice Zábřeh-Leština (II-315)</t>
  </si>
  <si>
    <t>II/366 Prostějov - přeložka silnice - 2. etapa</t>
  </si>
  <si>
    <t>II/366 Prostějov - okružní křižovatka,</t>
  </si>
  <si>
    <t>II/488 Olomouc - přeložka silnice  - I. etapa</t>
  </si>
  <si>
    <t>SMN a.s. - o.z. Nemocnice Přerov - Rozšíření parkovací kapacity  – 1. etapa</t>
  </si>
  <si>
    <t>Centrum bezpečí v Olomouci</t>
  </si>
  <si>
    <t>Realizace energeticky úsporných opatření – SŠ technická a zemědělská Mohelnice a) zateplení</t>
  </si>
  <si>
    <t>Základní škola Šternberk, Olomoucká 76 - Zateplení budovy a instalace řízeného větrání – b) vzduchotechnika</t>
  </si>
  <si>
    <t>Střední škola technická, Přerov, Kouřílkova 8 - Energeticky úsporná opatření - tělocvična – b) vzduchotechnika</t>
  </si>
  <si>
    <t>Realizace energeticky úsporných opatření - SPŠ Hranice - b) vzduchotechnika</t>
  </si>
  <si>
    <t>REÚO – OA Mohelnice – budovy internátu a jídelna - b) vzduchotechnika</t>
  </si>
  <si>
    <t xml:space="preserve">II/447 Strukov - Šternberk </t>
  </si>
  <si>
    <t>Hospodaření se srážkovými vodami v intravilánu příspěvkových organizací Olomouckého kraje II</t>
  </si>
  <si>
    <t>Hospodaření se srážkovými vodami v intravilánu příspěvkových organizací Olomouckého kraje IV</t>
  </si>
  <si>
    <t>Hospodaření se srážkovými vodami v intravilánu příspěvkových organizací Olomouckého kraje V</t>
  </si>
  <si>
    <t>Digitální technická mapa</t>
  </si>
  <si>
    <t>SMN a. s. – o. z. Nemocnice Šternberk – REÚO – Domov sester</t>
  </si>
  <si>
    <t>oblast územního plánování</t>
  </si>
  <si>
    <t>Přehled financování oprav a investic PO v roce 2020</t>
  </si>
  <si>
    <t>SFDI</t>
  </si>
  <si>
    <t>ORJ 52, UZ 23</t>
  </si>
  <si>
    <t xml:space="preserve">Hospodaření se srážkovými vodami v intravilánu příspěvkových organizací Olomouckého kraje </t>
  </si>
  <si>
    <t>Opravy a investice Olomouckého kraje 2020</t>
  </si>
  <si>
    <t>Schválený rozpočet</t>
  </si>
  <si>
    <t>ORJ 19 UZ 107517016/107517969</t>
  </si>
  <si>
    <t>ORJ 19 UZ 107117015/107517016 a 107117968/107517969</t>
  </si>
  <si>
    <t>Dětský domov a Školní jídelna Prostějov, Lidická 86</t>
  </si>
  <si>
    <t>Střední průmyslová škola, 750 02 Přerov I - Město, Havlíčkova 377/2</t>
  </si>
  <si>
    <t>Střední zdravotnická škola, Nová 1820, Hranice</t>
  </si>
  <si>
    <t xml:space="preserve">Střední škola polygrafická, Střední novosadská 87/53, Olomouc </t>
  </si>
  <si>
    <t>Odborné učiliště a Základní škola, Křenovice, Křenovice, č.p. 8</t>
  </si>
  <si>
    <t>Dětský domov a Školní jídelna, Tyršova 772, Lipník nad Bečvou</t>
  </si>
  <si>
    <t>Dětský domov a Školní jídelna, Sušilova 25/2392, Přerov</t>
  </si>
  <si>
    <t>Základní škola a Mateřská škola při Sanatoriu EDEL, Lázeňská 491, Zlaté Hory</t>
  </si>
  <si>
    <t>Střední průmyslová škola, Dukelská 1240, Jeseník</t>
  </si>
  <si>
    <t>Střední škola technická, Kouřílkova 8,   Přerov</t>
  </si>
  <si>
    <t>Středisko sociální prevence, Na Vozovce 26, Olomouc</t>
  </si>
  <si>
    <t>Domov Štíty-Jedlí, Na Pilníku 222, Štíty</t>
  </si>
  <si>
    <r>
      <t xml:space="preserve">ORJ 12, </t>
    </r>
    <r>
      <rPr>
        <b/>
        <sz val="10"/>
        <color rgb="FF0070C0"/>
        <rFont val="Arial"/>
        <family val="2"/>
        <charset val="238"/>
      </rPr>
      <t>UZ 107117968, 107517969</t>
    </r>
  </si>
  <si>
    <r>
      <t>ORJ 12,</t>
    </r>
    <r>
      <rPr>
        <b/>
        <sz val="10"/>
        <color rgb="FF0070C0"/>
        <rFont val="Arial"/>
        <family val="2"/>
        <charset val="238"/>
      </rPr>
      <t xml:space="preserve"> SFDI UZ 91252 a 91628 (Pol 5336 a 6356)</t>
    </r>
  </si>
  <si>
    <t>hrazené z účelových dotací - SFDI</t>
  </si>
  <si>
    <t>ORJ 59, UZ 106515011 - předfinancování rozpočet</t>
  </si>
  <si>
    <t>8. Přehled financování oprav a investic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</si>
</sst>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rgb="FF7030A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B0F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0"/>
      <color theme="9"/>
      <name val="Arial"/>
      <family val="2"/>
      <charset val="238"/>
    </font>
    <font>
      <b/>
      <sz val="10"/>
      <color rgb="FFFFC000"/>
      <name val="Arial"/>
      <family val="2"/>
      <charset val="238"/>
    </font>
    <font>
      <b/>
      <i/>
      <sz val="10"/>
      <color rgb="FFFFC00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color theme="3"/>
      <name val="Arial"/>
      <family val="2"/>
      <charset val="238"/>
    </font>
    <font>
      <b/>
      <i/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i/>
      <sz val="10"/>
      <color theme="4" tint="-0.49998474074526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theme="3" tint="-0.499984740745262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10"/>
      <color rgb="FFFFFF00"/>
      <name val="Arial"/>
      <family val="2"/>
      <charset val="238"/>
    </font>
    <font>
      <sz val="10"/>
      <color theme="3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i/>
      <sz val="10"/>
      <color rgb="FFFFFF0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6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1" applyAlignment="1">
      <alignment horizontal="right"/>
    </xf>
    <xf numFmtId="4" fontId="4" fillId="0" borderId="0" xfId="1" applyNumberFormat="1"/>
    <xf numFmtId="0" fontId="4" fillId="0" borderId="0" xfId="1"/>
    <xf numFmtId="0" fontId="7" fillId="0" borderId="0" xfId="1" applyFont="1"/>
    <xf numFmtId="0" fontId="4" fillId="0" borderId="0" xfId="1" applyBorder="1"/>
    <xf numFmtId="0" fontId="7" fillId="0" borderId="14" xfId="1" applyFont="1" applyBorder="1"/>
    <xf numFmtId="0" fontId="4" fillId="0" borderId="14" xfId="1" applyBorder="1"/>
    <xf numFmtId="0" fontId="4" fillId="0" borderId="14" xfId="1" applyBorder="1" applyAlignment="1">
      <alignment horizontal="right"/>
    </xf>
    <xf numFmtId="0" fontId="4" fillId="0" borderId="7" xfId="1" applyBorder="1"/>
    <xf numFmtId="4" fontId="19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16" xfId="1" applyNumberFormat="1" applyFont="1" applyFill="1" applyBorder="1" applyAlignment="1">
      <alignment horizontal="center" vertical="center"/>
    </xf>
    <xf numFmtId="0" fontId="3" fillId="0" borderId="15" xfId="1" applyFont="1" applyBorder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/>
    </xf>
    <xf numFmtId="4" fontId="3" fillId="0" borderId="1" xfId="1" applyNumberFormat="1" applyFont="1" applyBorder="1"/>
    <xf numFmtId="4" fontId="3" fillId="0" borderId="0" xfId="1" applyNumberFormat="1" applyFont="1" applyBorder="1"/>
    <xf numFmtId="0" fontId="4" fillId="0" borderId="0" xfId="1" applyFont="1"/>
    <xf numFmtId="0" fontId="9" fillId="0" borderId="0" xfId="1" applyFont="1" applyBorder="1" applyAlignment="1">
      <alignment horizontal="left"/>
    </xf>
    <xf numFmtId="0" fontId="17" fillId="0" borderId="15" xfId="1" applyFont="1" applyBorder="1" applyAlignment="1">
      <alignment horizontal="left"/>
    </xf>
    <xf numFmtId="4" fontId="17" fillId="0" borderId="4" xfId="1" applyNumberFormat="1" applyFont="1" applyBorder="1"/>
    <xf numFmtId="0" fontId="17" fillId="0" borderId="0" xfId="1" applyFont="1"/>
    <xf numFmtId="0" fontId="20" fillId="0" borderId="0" xfId="1" applyFont="1"/>
    <xf numFmtId="0" fontId="21" fillId="0" borderId="0" xfId="1" applyFont="1"/>
    <xf numFmtId="0" fontId="7" fillId="0" borderId="0" xfId="1" applyFont="1" applyFill="1" applyAlignment="1">
      <alignment horizontal="left"/>
    </xf>
    <xf numFmtId="0" fontId="22" fillId="0" borderId="0" xfId="1" applyFont="1" applyFill="1"/>
    <xf numFmtId="4" fontId="22" fillId="0" borderId="0" xfId="1" applyNumberFormat="1" applyFont="1" applyFill="1"/>
    <xf numFmtId="0" fontId="4" fillId="0" borderId="0" xfId="1" applyFill="1"/>
    <xf numFmtId="0" fontId="3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4" fillId="0" borderId="0" xfId="1" applyFont="1" applyFill="1"/>
    <xf numFmtId="0" fontId="7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22" fillId="0" borderId="0" xfId="1" applyFont="1"/>
    <xf numFmtId="0" fontId="9" fillId="0" borderId="0" xfId="1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8" fillId="0" borderId="7" xfId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4" fillId="0" borderId="2" xfId="1" applyFill="1" applyBorder="1" applyAlignment="1">
      <alignment horizontal="center" vertical="center"/>
    </xf>
    <xf numFmtId="4" fontId="4" fillId="0" borderId="1" xfId="1" applyNumberFormat="1" applyFill="1" applyBorder="1" applyAlignment="1">
      <alignment horizontal="center" vertical="center"/>
    </xf>
    <xf numFmtId="0" fontId="4" fillId="0" borderId="3" xfId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left" vertical="center"/>
    </xf>
    <xf numFmtId="4" fontId="9" fillId="0" borderId="4" xfId="1" applyNumberFormat="1" applyFont="1" applyFill="1" applyBorder="1" applyAlignment="1">
      <alignment horizontal="right" vertical="center"/>
    </xf>
    <xf numFmtId="164" fontId="9" fillId="0" borderId="5" xfId="1" applyNumberFormat="1" applyFont="1" applyFill="1" applyBorder="1"/>
    <xf numFmtId="0" fontId="4" fillId="0" borderId="0" xfId="1" applyFont="1" applyAlignment="1">
      <alignment vertical="center"/>
    </xf>
    <xf numFmtId="4" fontId="11" fillId="2" borderId="0" xfId="1" applyNumberFormat="1" applyFont="1" applyFill="1" applyBorder="1" applyAlignment="1">
      <alignment horizontal="right" vertical="center"/>
    </xf>
    <xf numFmtId="4" fontId="10" fillId="2" borderId="0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4" fillId="0" borderId="0" xfId="1" applyBorder="1" applyAlignment="1">
      <alignment vertical="center"/>
    </xf>
    <xf numFmtId="3" fontId="11" fillId="2" borderId="0" xfId="1" applyNumberFormat="1" applyFont="1" applyFill="1" applyBorder="1" applyAlignment="1">
      <alignment horizontal="right" vertical="center"/>
    </xf>
    <xf numFmtId="0" fontId="22" fillId="0" borderId="0" xfId="1" applyFont="1" applyBorder="1"/>
    <xf numFmtId="0" fontId="9" fillId="2" borderId="0" xfId="1" applyFont="1" applyFill="1" applyBorder="1" applyAlignment="1">
      <alignment horizontal="left" vertical="center"/>
    </xf>
    <xf numFmtId="164" fontId="12" fillId="0" borderId="5" xfId="1" applyNumberFormat="1" applyFont="1" applyFill="1" applyBorder="1" applyAlignment="1">
      <alignment vertical="center"/>
    </xf>
    <xf numFmtId="0" fontId="23" fillId="0" borderId="0" xfId="1" applyFont="1"/>
    <xf numFmtId="0" fontId="10" fillId="0" borderId="0" xfId="1" applyFont="1"/>
    <xf numFmtId="0" fontId="8" fillId="2" borderId="0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4" fontId="3" fillId="2" borderId="8" xfId="1" applyNumberFormat="1" applyFont="1" applyFill="1" applyBorder="1" applyAlignment="1">
      <alignment vertical="center"/>
    </xf>
    <xf numFmtId="164" fontId="15" fillId="0" borderId="8" xfId="1" applyNumberFormat="1" applyFont="1" applyFill="1" applyBorder="1" applyAlignment="1">
      <alignment vertical="center"/>
    </xf>
    <xf numFmtId="0" fontId="24" fillId="0" borderId="0" xfId="1" applyFont="1"/>
    <xf numFmtId="0" fontId="10" fillId="0" borderId="0" xfId="1" applyFont="1" applyBorder="1"/>
    <xf numFmtId="4" fontId="10" fillId="0" borderId="0" xfId="1" applyNumberFormat="1" applyFont="1" applyBorder="1"/>
    <xf numFmtId="4" fontId="9" fillId="0" borderId="13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left"/>
    </xf>
    <xf numFmtId="0" fontId="14" fillId="0" borderId="0" xfId="1" applyFont="1" applyFill="1" applyBorder="1"/>
    <xf numFmtId="0" fontId="14" fillId="0" borderId="0" xfId="1" applyFont="1" applyFill="1" applyBorder="1" applyAlignment="1">
      <alignment horizontal="left"/>
    </xf>
    <xf numFmtId="4" fontId="10" fillId="0" borderId="0" xfId="1" applyNumberFormat="1" applyFont="1" applyFill="1" applyBorder="1"/>
    <xf numFmtId="164" fontId="14" fillId="0" borderId="0" xfId="1" applyNumberFormat="1" applyFont="1" applyFill="1" applyBorder="1"/>
    <xf numFmtId="0" fontId="15" fillId="0" borderId="8" xfId="1" applyFont="1" applyFill="1" applyBorder="1" applyAlignment="1">
      <alignment horizontal="left"/>
    </xf>
    <xf numFmtId="4" fontId="12" fillId="0" borderId="8" xfId="1" applyNumberFormat="1" applyFont="1" applyFill="1" applyBorder="1"/>
    <xf numFmtId="164" fontId="12" fillId="0" borderId="8" xfId="1" applyNumberFormat="1" applyFont="1" applyFill="1" applyBorder="1"/>
    <xf numFmtId="164" fontId="9" fillId="0" borderId="5" xfId="1" applyNumberFormat="1" applyFont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ill="1"/>
    <xf numFmtId="0" fontId="4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18" fillId="0" borderId="0" xfId="1" applyFont="1" applyFill="1" applyAlignment="1">
      <alignment horizontal="left"/>
    </xf>
    <xf numFmtId="0" fontId="2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3" fontId="10" fillId="0" borderId="0" xfId="1" applyNumberFormat="1" applyFont="1" applyFill="1" applyBorder="1" applyAlignment="1">
      <alignment horizontal="left" vertical="center"/>
    </xf>
    <xf numFmtId="0" fontId="4" fillId="4" borderId="0" xfId="1" applyFont="1" applyFill="1" applyAlignment="1">
      <alignment horizontal="left"/>
    </xf>
    <xf numFmtId="3" fontId="4" fillId="0" borderId="0" xfId="1" applyNumberFormat="1" applyFont="1" applyFill="1" applyAlignment="1">
      <alignment horizontal="left"/>
    </xf>
    <xf numFmtId="0" fontId="4" fillId="0" borderId="0" xfId="1" applyFont="1" applyAlignment="1">
      <alignment horizontal="left"/>
    </xf>
    <xf numFmtId="4" fontId="25" fillId="0" borderId="0" xfId="1" applyNumberFormat="1" applyFont="1" applyBorder="1"/>
    <xf numFmtId="0" fontId="10" fillId="0" borderId="0" xfId="1" applyFont="1" applyFill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26" fillId="0" borderId="0" xfId="1" applyFont="1" applyFill="1" applyAlignment="1">
      <alignment horizontal="center"/>
    </xf>
    <xf numFmtId="0" fontId="26" fillId="0" borderId="0" xfId="1" applyFont="1" applyFill="1" applyBorder="1" applyAlignment="1">
      <alignment horizontal="center"/>
    </xf>
    <xf numFmtId="4" fontId="22" fillId="0" borderId="0" xfId="1" applyNumberFormat="1" applyFont="1"/>
    <xf numFmtId="0" fontId="4" fillId="5" borderId="0" xfId="1" applyFont="1" applyFill="1" applyAlignment="1">
      <alignment horizontal="left"/>
    </xf>
    <xf numFmtId="0" fontId="4" fillId="3" borderId="0" xfId="1" applyFont="1" applyFill="1" applyAlignment="1">
      <alignment horizontal="left"/>
    </xf>
    <xf numFmtId="0" fontId="4" fillId="6" borderId="0" xfId="1" applyFont="1" applyFill="1" applyAlignment="1">
      <alignment horizontal="left"/>
    </xf>
    <xf numFmtId="0" fontId="4" fillId="7" borderId="0" xfId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7" fillId="6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25" fillId="0" borderId="0" xfId="1" applyFont="1"/>
    <xf numFmtId="0" fontId="29" fillId="0" borderId="0" xfId="1" applyFont="1"/>
    <xf numFmtId="0" fontId="30" fillId="0" borderId="0" xfId="1" applyFont="1"/>
    <xf numFmtId="4" fontId="9" fillId="0" borderId="10" xfId="1" applyNumberFormat="1" applyFont="1" applyFill="1" applyBorder="1" applyAlignment="1">
      <alignment horizontal="right" vertical="center"/>
    </xf>
    <xf numFmtId="0" fontId="10" fillId="2" borderId="0" xfId="3" applyFont="1" applyFill="1" applyBorder="1" applyAlignment="1">
      <alignment vertical="center" wrapText="1"/>
    </xf>
    <xf numFmtId="4" fontId="10" fillId="0" borderId="0" xfId="1" applyNumberFormat="1" applyFont="1" applyFill="1" applyBorder="1" applyAlignment="1">
      <alignment vertical="center"/>
    </xf>
    <xf numFmtId="0" fontId="4" fillId="9" borderId="0" xfId="2" applyNumberFormat="1" applyFont="1" applyFill="1" applyBorder="1" applyAlignment="1">
      <alignment horizontal="center" vertical="center" wrapText="1"/>
    </xf>
    <xf numFmtId="0" fontId="34" fillId="9" borderId="0" xfId="0" applyFont="1" applyFill="1"/>
    <xf numFmtId="49" fontId="2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4" fontId="9" fillId="0" borderId="0" xfId="0" applyNumberFormat="1" applyFont="1" applyFill="1"/>
    <xf numFmtId="4" fontId="36" fillId="0" borderId="0" xfId="0" applyNumberFormat="1" applyFont="1" applyFill="1"/>
    <xf numFmtId="4" fontId="27" fillId="0" borderId="0" xfId="0" applyNumberFormat="1" applyFont="1" applyFill="1"/>
    <xf numFmtId="0" fontId="35" fillId="0" borderId="0" xfId="1" applyFont="1"/>
    <xf numFmtId="4" fontId="35" fillId="0" borderId="0" xfId="1" applyNumberFormat="1" applyFont="1"/>
    <xf numFmtId="0" fontId="38" fillId="0" borderId="0" xfId="1" applyFont="1"/>
    <xf numFmtId="4" fontId="8" fillId="0" borderId="0" xfId="1" applyNumberFormat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/>
    </xf>
    <xf numFmtId="4" fontId="4" fillId="0" borderId="0" xfId="1" applyNumberForma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4" fontId="10" fillId="0" borderId="9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4" fontId="10" fillId="0" borderId="14" xfId="1" applyNumberFormat="1" applyFont="1" applyFill="1" applyBorder="1" applyAlignment="1">
      <alignment vertical="center"/>
    </xf>
    <xf numFmtId="4" fontId="10" fillId="0" borderId="4" xfId="1" applyNumberFormat="1" applyFont="1" applyFill="1" applyBorder="1"/>
    <xf numFmtId="4" fontId="10" fillId="0" borderId="9" xfId="1" applyNumberFormat="1" applyFont="1" applyFill="1" applyBorder="1"/>
    <xf numFmtId="4" fontId="11" fillId="0" borderId="0" xfId="1" applyNumberFormat="1" applyFont="1" applyFill="1" applyBorder="1" applyAlignment="1">
      <alignment horizontal="right" vertical="center"/>
    </xf>
    <xf numFmtId="1" fontId="10" fillId="0" borderId="0" xfId="1" applyNumberFormat="1" applyFont="1" applyFill="1" applyBorder="1" applyAlignment="1">
      <alignment horizontal="left" vertical="center"/>
    </xf>
    <xf numFmtId="0" fontId="34" fillId="9" borderId="0" xfId="0" applyFont="1" applyFill="1" applyAlignment="1">
      <alignment vertical="center"/>
    </xf>
    <xf numFmtId="4" fontId="36" fillId="10" borderId="0" xfId="0" applyNumberFormat="1" applyFont="1" applyFill="1" applyAlignment="1">
      <alignment vertical="center"/>
    </xf>
    <xf numFmtId="4" fontId="9" fillId="0" borderId="0" xfId="1" applyNumberFormat="1" applyFont="1"/>
    <xf numFmtId="0" fontId="32" fillId="0" borderId="0" xfId="1" applyFont="1"/>
    <xf numFmtId="0" fontId="35" fillId="0" borderId="0" xfId="1" applyFont="1" applyAlignment="1">
      <alignment vertical="center"/>
    </xf>
    <xf numFmtId="0" fontId="39" fillId="0" borderId="0" xfId="1" applyFont="1" applyAlignment="1">
      <alignment vertical="center"/>
    </xf>
    <xf numFmtId="0" fontId="39" fillId="0" borderId="0" xfId="1" applyFont="1"/>
    <xf numFmtId="0" fontId="42" fillId="0" borderId="0" xfId="1" applyFont="1"/>
    <xf numFmtId="0" fontId="7" fillId="2" borderId="0" xfId="1" applyFont="1" applyFill="1" applyBorder="1" applyAlignment="1">
      <alignment vertical="center" wrapText="1"/>
    </xf>
    <xf numFmtId="4" fontId="3" fillId="2" borderId="0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right"/>
    </xf>
    <xf numFmtId="0" fontId="9" fillId="0" borderId="17" xfId="1" applyFont="1" applyFill="1" applyBorder="1" applyAlignment="1">
      <alignment horizontal="left" vertical="center"/>
    </xf>
    <xf numFmtId="164" fontId="12" fillId="0" borderId="11" xfId="1" applyNumberFormat="1" applyFont="1" applyFill="1" applyBorder="1" applyAlignment="1">
      <alignment vertical="center"/>
    </xf>
    <xf numFmtId="0" fontId="10" fillId="0" borderId="0" xfId="1" applyFont="1" applyFill="1" applyBorder="1"/>
    <xf numFmtId="0" fontId="10" fillId="0" borderId="15" xfId="1" applyFont="1" applyFill="1" applyBorder="1"/>
    <xf numFmtId="4" fontId="10" fillId="0" borderId="5" xfId="1" applyNumberFormat="1" applyFont="1" applyFill="1" applyBorder="1"/>
    <xf numFmtId="0" fontId="3" fillId="0" borderId="15" xfId="1" applyFont="1" applyFill="1" applyBorder="1"/>
    <xf numFmtId="4" fontId="6" fillId="0" borderId="4" xfId="1" applyNumberFormat="1" applyFont="1" applyFill="1" applyBorder="1"/>
    <xf numFmtId="4" fontId="6" fillId="0" borderId="5" xfId="1" applyNumberFormat="1" applyFont="1" applyFill="1" applyBorder="1"/>
    <xf numFmtId="0" fontId="3" fillId="0" borderId="15" xfId="1" applyFont="1" applyFill="1" applyBorder="1" applyAlignment="1">
      <alignment wrapText="1"/>
    </xf>
    <xf numFmtId="4" fontId="6" fillId="0" borderId="4" xfId="1" applyNumberFormat="1" applyFont="1" applyFill="1" applyBorder="1" applyAlignment="1">
      <alignment vertical="center"/>
    </xf>
    <xf numFmtId="0" fontId="17" fillId="0" borderId="15" xfId="1" applyFont="1" applyFill="1" applyBorder="1" applyAlignment="1">
      <alignment horizontal="left"/>
    </xf>
    <xf numFmtId="4" fontId="17" fillId="0" borderId="4" xfId="1" applyNumberFormat="1" applyFont="1" applyFill="1" applyBorder="1"/>
    <xf numFmtId="4" fontId="6" fillId="0" borderId="0" xfId="1" applyNumberFormat="1" applyFont="1" applyFill="1"/>
    <xf numFmtId="4" fontId="27" fillId="0" borderId="0" xfId="1" applyNumberFormat="1" applyFont="1" applyFill="1"/>
    <xf numFmtId="4" fontId="39" fillId="0" borderId="0" xfId="1" applyNumberFormat="1" applyFont="1"/>
    <xf numFmtId="4" fontId="37" fillId="0" borderId="0" xfId="1" applyNumberFormat="1" applyFont="1" applyFill="1"/>
    <xf numFmtId="4" fontId="34" fillId="0" borderId="0" xfId="0" applyNumberFormat="1" applyFont="1" applyFill="1"/>
    <xf numFmtId="4" fontId="26" fillId="0" borderId="0" xfId="0" applyNumberFormat="1" applyFont="1" applyFill="1"/>
    <xf numFmtId="4" fontId="6" fillId="0" borderId="0" xfId="1" applyNumberFormat="1" applyFont="1"/>
    <xf numFmtId="4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10" fillId="0" borderId="0" xfId="1" applyFont="1" applyFill="1" applyBorder="1" applyAlignment="1">
      <alignment vertical="center" wrapText="1"/>
    </xf>
    <xf numFmtId="0" fontId="10" fillId="0" borderId="18" xfId="1" applyFont="1" applyFill="1" applyBorder="1" applyAlignment="1">
      <alignment horizontal="left" vertical="center" wrapText="1"/>
    </xf>
    <xf numFmtId="4" fontId="45" fillId="2" borderId="0" xfId="1" applyNumberFormat="1" applyFont="1" applyFill="1"/>
    <xf numFmtId="4" fontId="40" fillId="2" borderId="0" xfId="1" applyNumberFormat="1" applyFont="1" applyFill="1"/>
    <xf numFmtId="0" fontId="10" fillId="0" borderId="18" xfId="1" applyFont="1" applyFill="1" applyBorder="1" applyAlignment="1">
      <alignment horizontal="left" vertical="center"/>
    </xf>
    <xf numFmtId="0" fontId="9" fillId="2" borderId="14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right"/>
    </xf>
    <xf numFmtId="4" fontId="6" fillId="0" borderId="5" xfId="1" applyNumberFormat="1" applyFont="1" applyFill="1" applyBorder="1" applyAlignment="1">
      <alignment vertical="center"/>
    </xf>
    <xf numFmtId="4" fontId="22" fillId="0" borderId="0" xfId="1" applyNumberFormat="1" applyFont="1" applyFill="1" applyAlignment="1">
      <alignment vertical="center"/>
    </xf>
    <xf numFmtId="4" fontId="22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0" fontId="10" fillId="0" borderId="0" xfId="1" applyFont="1" applyFill="1" applyBorder="1" applyAlignment="1">
      <alignment horizontal="left" vertical="center" wrapText="1"/>
    </xf>
    <xf numFmtId="4" fontId="10" fillId="0" borderId="0" xfId="1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top"/>
    </xf>
    <xf numFmtId="4" fontId="27" fillId="0" borderId="0" xfId="0" applyNumberFormat="1" applyFont="1" applyFill="1" applyAlignment="1">
      <alignment vertical="top"/>
    </xf>
    <xf numFmtId="4" fontId="28" fillId="0" borderId="0" xfId="0" applyNumberFormat="1" applyFont="1" applyFill="1"/>
    <xf numFmtId="0" fontId="32" fillId="0" borderId="0" xfId="1" applyFont="1" applyBorder="1"/>
    <xf numFmtId="164" fontId="10" fillId="0" borderId="21" xfId="1" applyNumberFormat="1" applyFont="1" applyFill="1" applyBorder="1" applyAlignment="1">
      <alignment vertical="center"/>
    </xf>
    <xf numFmtId="0" fontId="10" fillId="0" borderId="21" xfId="1" applyFont="1" applyFill="1" applyBorder="1" applyAlignment="1">
      <alignment horizontal="left" vertical="center" wrapText="1"/>
    </xf>
    <xf numFmtId="4" fontId="10" fillId="0" borderId="21" xfId="1" applyNumberFormat="1" applyFont="1" applyFill="1" applyBorder="1" applyAlignment="1">
      <alignment horizontal="right" vertical="center"/>
    </xf>
    <xf numFmtId="4" fontId="2" fillId="0" borderId="0" xfId="1" applyNumberFormat="1" applyFont="1"/>
    <xf numFmtId="0" fontId="4" fillId="8" borderId="0" xfId="1" applyFont="1" applyFill="1" applyAlignment="1">
      <alignment horizontal="left"/>
    </xf>
    <xf numFmtId="0" fontId="34" fillId="8" borderId="0" xfId="0" applyFont="1" applyFill="1"/>
    <xf numFmtId="4" fontId="22" fillId="8" borderId="0" xfId="1" applyNumberFormat="1" applyFont="1" applyFill="1"/>
    <xf numFmtId="0" fontId="4" fillId="8" borderId="0" xfId="1" applyFill="1"/>
    <xf numFmtId="0" fontId="22" fillId="8" borderId="0" xfId="1" applyFont="1" applyFill="1"/>
    <xf numFmtId="0" fontId="4" fillId="8" borderId="0" xfId="1" applyFont="1" applyFill="1"/>
    <xf numFmtId="0" fontId="4" fillId="8" borderId="0" xfId="1" applyFont="1" applyFill="1" applyAlignment="1">
      <alignment horizontal="left" vertical="center"/>
    </xf>
    <xf numFmtId="0" fontId="8" fillId="8" borderId="7" xfId="1" applyFont="1" applyFill="1" applyBorder="1" applyAlignment="1">
      <alignment horizontal="center" vertical="center"/>
    </xf>
    <xf numFmtId="4" fontId="8" fillId="8" borderId="1" xfId="1" applyNumberFormat="1" applyFont="1" applyFill="1" applyBorder="1" applyAlignment="1">
      <alignment horizontal="center" vertical="center" wrapText="1"/>
    </xf>
    <xf numFmtId="0" fontId="4" fillId="8" borderId="2" xfId="1" applyFill="1" applyBorder="1" applyAlignment="1">
      <alignment horizontal="center" vertical="center"/>
    </xf>
    <xf numFmtId="4" fontId="4" fillId="8" borderId="1" xfId="1" applyNumberFormat="1" applyFill="1" applyBorder="1" applyAlignment="1">
      <alignment horizontal="center" vertical="center"/>
    </xf>
    <xf numFmtId="0" fontId="4" fillId="8" borderId="3" xfId="1" applyFill="1" applyBorder="1" applyAlignment="1">
      <alignment horizontal="center" vertical="center"/>
    </xf>
    <xf numFmtId="0" fontId="4" fillId="8" borderId="0" xfId="1" applyFill="1" applyBorder="1"/>
    <xf numFmtId="164" fontId="10" fillId="8" borderId="0" xfId="1" applyNumberFormat="1" applyFont="1" applyFill="1" applyBorder="1" applyAlignment="1">
      <alignment vertical="center"/>
    </xf>
    <xf numFmtId="0" fontId="5" fillId="8" borderId="0" xfId="1" applyFont="1" applyFill="1" applyBorder="1" applyAlignment="1">
      <alignment horizontal="left"/>
    </xf>
    <xf numFmtId="0" fontId="22" fillId="8" borderId="0" xfId="1" applyFont="1" applyFill="1" applyBorder="1"/>
    <xf numFmtId="0" fontId="9" fillId="8" borderId="0" xfId="1" applyFont="1" applyFill="1" applyBorder="1" applyAlignment="1">
      <alignment horizontal="left" vertical="center"/>
    </xf>
    <xf numFmtId="0" fontId="2" fillId="8" borderId="0" xfId="1" applyFont="1" applyFill="1" applyAlignment="1">
      <alignment horizontal="right"/>
    </xf>
    <xf numFmtId="0" fontId="9" fillId="8" borderId="17" xfId="1" applyFont="1" applyFill="1" applyBorder="1" applyAlignment="1">
      <alignment horizontal="left" vertical="center"/>
    </xf>
    <xf numFmtId="164" fontId="12" fillId="8" borderId="11" xfId="1" applyNumberFormat="1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0" fontId="5" fillId="8" borderId="0" xfId="1" applyFont="1" applyFill="1" applyAlignment="1">
      <alignment horizontal="left"/>
    </xf>
    <xf numFmtId="4" fontId="22" fillId="8" borderId="0" xfId="1" applyNumberFormat="1" applyFont="1" applyFill="1" applyBorder="1"/>
    <xf numFmtId="0" fontId="9" fillId="8" borderId="0" xfId="1" applyFont="1" applyFill="1" applyAlignment="1">
      <alignment horizontal="left"/>
    </xf>
    <xf numFmtId="0" fontId="4" fillId="8" borderId="0" xfId="1" applyFont="1" applyFill="1" applyAlignment="1">
      <alignment horizontal="right"/>
    </xf>
    <xf numFmtId="0" fontId="26" fillId="8" borderId="0" xfId="1" applyFont="1" applyFill="1" applyAlignment="1">
      <alignment horizontal="center"/>
    </xf>
    <xf numFmtId="0" fontId="38" fillId="8" borderId="0" xfId="1" applyFont="1" applyFill="1"/>
    <xf numFmtId="0" fontId="9" fillId="8" borderId="15" xfId="1" applyFont="1" applyFill="1" applyBorder="1" applyAlignment="1">
      <alignment horizontal="left" vertical="center"/>
    </xf>
    <xf numFmtId="4" fontId="9" fillId="8" borderId="4" xfId="1" applyNumberFormat="1" applyFont="1" applyFill="1" applyBorder="1" applyAlignment="1">
      <alignment horizontal="right" vertical="center"/>
    </xf>
    <xf numFmtId="164" fontId="9" fillId="8" borderId="5" xfId="1" applyNumberFormat="1" applyFont="1" applyFill="1" applyBorder="1" applyAlignment="1">
      <alignment vertical="center"/>
    </xf>
    <xf numFmtId="0" fontId="6" fillId="8" borderId="0" xfId="1" applyFont="1" applyFill="1" applyBorder="1" applyAlignment="1">
      <alignment horizontal="center" vertical="center"/>
    </xf>
    <xf numFmtId="0" fontId="35" fillId="8" borderId="0" xfId="1" applyFont="1" applyFill="1"/>
    <xf numFmtId="4" fontId="34" fillId="0" borderId="0" xfId="1" applyNumberFormat="1" applyFont="1"/>
    <xf numFmtId="0" fontId="10" fillId="0" borderId="22" xfId="1" applyFont="1" applyFill="1" applyBorder="1" applyAlignment="1">
      <alignment horizontal="left" vertical="center" wrapText="1"/>
    </xf>
    <xf numFmtId="4" fontId="10" fillId="0" borderId="23" xfId="1" applyNumberFormat="1" applyFont="1" applyFill="1" applyBorder="1" applyAlignment="1">
      <alignment vertical="center"/>
    </xf>
    <xf numFmtId="4" fontId="11" fillId="0" borderId="24" xfId="1" applyNumberFormat="1" applyFont="1" applyFill="1" applyBorder="1" applyAlignment="1">
      <alignment horizontal="right" vertical="center"/>
    </xf>
    <xf numFmtId="164" fontId="10" fillId="0" borderId="25" xfId="1" applyNumberFormat="1" applyFont="1" applyFill="1" applyBorder="1" applyAlignment="1">
      <alignment vertical="center"/>
    </xf>
    <xf numFmtId="4" fontId="11" fillId="0" borderId="23" xfId="1" applyNumberFormat="1" applyFont="1" applyFill="1" applyBorder="1" applyAlignment="1">
      <alignment horizontal="right" vertical="center"/>
    </xf>
    <xf numFmtId="0" fontId="10" fillId="0" borderId="22" xfId="1" applyFont="1" applyFill="1" applyBorder="1" applyAlignment="1">
      <alignment vertical="center" wrapText="1"/>
    </xf>
    <xf numFmtId="0" fontId="10" fillId="0" borderId="26" xfId="1" applyFont="1" applyFill="1" applyBorder="1" applyAlignment="1">
      <alignment vertical="center" wrapText="1"/>
    </xf>
    <xf numFmtId="4" fontId="11" fillId="0" borderId="27" xfId="1" applyNumberFormat="1" applyFont="1" applyFill="1" applyBorder="1" applyAlignment="1">
      <alignment horizontal="right" vertical="center"/>
    </xf>
    <xf numFmtId="164" fontId="10" fillId="0" borderId="28" xfId="1" applyNumberFormat="1" applyFont="1" applyFill="1" applyBorder="1" applyAlignment="1">
      <alignment vertical="center"/>
    </xf>
    <xf numFmtId="4" fontId="10" fillId="0" borderId="29" xfId="1" applyNumberFormat="1" applyFont="1" applyFill="1" applyBorder="1" applyAlignment="1">
      <alignment vertical="center"/>
    </xf>
    <xf numFmtId="0" fontId="10" fillId="0" borderId="22" xfId="1" applyFont="1" applyFill="1" applyBorder="1" applyAlignment="1">
      <alignment wrapText="1"/>
    </xf>
    <xf numFmtId="0" fontId="10" fillId="0" borderId="26" xfId="1" applyFont="1" applyFill="1" applyBorder="1" applyAlignment="1">
      <alignment wrapText="1"/>
    </xf>
    <xf numFmtId="0" fontId="10" fillId="8" borderId="22" xfId="1" applyFont="1" applyFill="1" applyBorder="1"/>
    <xf numFmtId="4" fontId="10" fillId="8" borderId="29" xfId="1" applyNumberFormat="1" applyFont="1" applyFill="1" applyBorder="1" applyAlignment="1">
      <alignment horizontal="right"/>
    </xf>
    <xf numFmtId="4" fontId="10" fillId="8" borderId="23" xfId="1" applyNumberFormat="1" applyFont="1" applyFill="1" applyBorder="1" applyAlignment="1">
      <alignment horizontal="right"/>
    </xf>
    <xf numFmtId="164" fontId="10" fillId="8" borderId="25" xfId="1" applyNumberFormat="1" applyFont="1" applyFill="1" applyBorder="1" applyAlignment="1">
      <alignment vertical="center"/>
    </xf>
    <xf numFmtId="0" fontId="10" fillId="8" borderId="22" xfId="1" applyFont="1" applyFill="1" applyBorder="1" applyAlignment="1">
      <alignment vertical="top" wrapText="1" shrinkToFit="1"/>
    </xf>
    <xf numFmtId="0" fontId="10" fillId="8" borderId="22" xfId="1" applyFont="1" applyFill="1" applyBorder="1" applyAlignment="1">
      <alignment vertical="center" wrapText="1"/>
    </xf>
    <xf numFmtId="4" fontId="10" fillId="8" borderId="29" xfId="1" applyNumberFormat="1" applyFont="1" applyFill="1" applyBorder="1" applyAlignment="1">
      <alignment horizontal="right" vertical="center"/>
    </xf>
    <xf numFmtId="0" fontId="10" fillId="8" borderId="26" xfId="1" applyFont="1" applyFill="1" applyBorder="1" applyAlignment="1">
      <alignment vertical="center" wrapText="1"/>
    </xf>
    <xf numFmtId="164" fontId="10" fillId="8" borderId="28" xfId="1" applyNumberFormat="1" applyFont="1" applyFill="1" applyBorder="1" applyAlignment="1">
      <alignment vertical="center"/>
    </xf>
    <xf numFmtId="0" fontId="10" fillId="0" borderId="22" xfId="1" applyFont="1" applyFill="1" applyBorder="1"/>
    <xf numFmtId="4" fontId="10" fillId="0" borderId="23" xfId="1" applyNumberFormat="1" applyFont="1" applyFill="1" applyBorder="1" applyAlignment="1">
      <alignment horizontal="right"/>
    </xf>
    <xf numFmtId="0" fontId="7" fillId="0" borderId="0" xfId="6" applyFont="1" applyFill="1" applyAlignment="1">
      <alignment horizontal="left"/>
    </xf>
    <xf numFmtId="3" fontId="2" fillId="0" borderId="0" xfId="6" applyNumberFormat="1" applyFont="1" applyFill="1" applyAlignment="1">
      <alignment horizontal="left"/>
    </xf>
    <xf numFmtId="0" fontId="22" fillId="0" borderId="0" xfId="6" applyFont="1" applyFill="1"/>
    <xf numFmtId="4" fontId="22" fillId="0" borderId="0" xfId="6" applyNumberFormat="1" applyFont="1" applyFill="1"/>
    <xf numFmtId="0" fontId="2" fillId="0" borderId="0" xfId="6" applyFill="1"/>
    <xf numFmtId="0" fontId="3" fillId="0" borderId="0" xfId="6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2" fillId="0" borderId="0" xfId="6" applyFont="1" applyFill="1"/>
    <xf numFmtId="0" fontId="2" fillId="0" borderId="0" xfId="6"/>
    <xf numFmtId="0" fontId="5" fillId="0" borderId="0" xfId="6" applyFont="1" applyFill="1" applyAlignment="1">
      <alignment horizontal="left"/>
    </xf>
    <xf numFmtId="0" fontId="2" fillId="0" borderId="0" xfId="6" applyFont="1" applyAlignment="1">
      <alignment horizontal="left"/>
    </xf>
    <xf numFmtId="0" fontId="22" fillId="0" borderId="0" xfId="6" applyFont="1"/>
    <xf numFmtId="0" fontId="7" fillId="0" borderId="0" xfId="6" applyFont="1" applyFill="1" applyBorder="1" applyAlignment="1">
      <alignment horizontal="left"/>
    </xf>
    <xf numFmtId="0" fontId="9" fillId="0" borderId="0" xfId="6" applyFont="1" applyFill="1" applyAlignment="1">
      <alignment horizontal="left"/>
    </xf>
    <xf numFmtId="0" fontId="2" fillId="0" borderId="0" xfId="6" applyAlignment="1">
      <alignment horizontal="right"/>
    </xf>
    <xf numFmtId="0" fontId="2" fillId="0" borderId="0" xfId="6" applyFont="1" applyFill="1" applyAlignment="1">
      <alignment horizontal="right"/>
    </xf>
    <xf numFmtId="0" fontId="8" fillId="0" borderId="7" xfId="6" applyFont="1" applyFill="1" applyBorder="1" applyAlignment="1">
      <alignment horizontal="center" vertical="center"/>
    </xf>
    <xf numFmtId="4" fontId="8" fillId="0" borderId="1" xfId="6" applyNumberFormat="1" applyFont="1" applyFill="1" applyBorder="1" applyAlignment="1">
      <alignment horizontal="center" vertical="center" wrapText="1"/>
    </xf>
    <xf numFmtId="0" fontId="2" fillId="0" borderId="2" xfId="6" applyFill="1" applyBorder="1" applyAlignment="1">
      <alignment horizontal="center" vertical="center"/>
    </xf>
    <xf numFmtId="4" fontId="2" fillId="0" borderId="1" xfId="6" applyNumberFormat="1" applyFill="1" applyBorder="1" applyAlignment="1">
      <alignment horizontal="center" vertical="center"/>
    </xf>
    <xf numFmtId="0" fontId="2" fillId="0" borderId="3" xfId="6" applyFill="1" applyBorder="1" applyAlignment="1">
      <alignment horizontal="center" vertical="center"/>
    </xf>
    <xf numFmtId="0" fontId="9" fillId="0" borderId="15" xfId="6" applyFont="1" applyFill="1" applyBorder="1" applyAlignment="1">
      <alignment horizontal="left" vertical="center"/>
    </xf>
    <xf numFmtId="4" fontId="9" fillId="0" borderId="4" xfId="6" applyNumberFormat="1" applyFont="1" applyFill="1" applyBorder="1" applyAlignment="1">
      <alignment horizontal="right" vertical="center"/>
    </xf>
    <xf numFmtId="164" fontId="9" fillId="0" borderId="5" xfId="6" applyNumberFormat="1" applyFont="1" applyFill="1" applyBorder="1"/>
    <xf numFmtId="0" fontId="22" fillId="0" borderId="0" xfId="6" applyFont="1" applyBorder="1"/>
    <xf numFmtId="4" fontId="8" fillId="0" borderId="0" xfId="6" applyNumberFormat="1" applyFont="1" applyFill="1" applyBorder="1" applyAlignment="1">
      <alignment horizontal="center" vertical="center" wrapText="1"/>
    </xf>
    <xf numFmtId="0" fontId="2" fillId="0" borderId="0" xfId="6" applyFill="1" applyBorder="1" applyAlignment="1">
      <alignment horizontal="center" vertical="center"/>
    </xf>
    <xf numFmtId="4" fontId="2" fillId="0" borderId="0" xfId="6" applyNumberFormat="1" applyFill="1" applyBorder="1" applyAlignment="1">
      <alignment horizontal="center" vertical="center"/>
    </xf>
    <xf numFmtId="164" fontId="10" fillId="0" borderId="5" xfId="6" applyNumberFormat="1" applyFont="1" applyFill="1" applyBorder="1" applyAlignment="1">
      <alignment vertical="center"/>
    </xf>
    <xf numFmtId="0" fontId="39" fillId="0" borderId="0" xfId="6" applyFont="1"/>
    <xf numFmtId="164" fontId="10" fillId="0" borderId="33" xfId="6" applyNumberFormat="1" applyFont="1" applyFill="1" applyBorder="1" applyAlignment="1">
      <alignment vertical="center"/>
    </xf>
    <xf numFmtId="164" fontId="10" fillId="0" borderId="36" xfId="6" applyNumberFormat="1" applyFont="1" applyFill="1" applyBorder="1" applyAlignment="1">
      <alignment vertical="center"/>
    </xf>
    <xf numFmtId="0" fontId="39" fillId="0" borderId="0" xfId="6" applyFont="1" applyAlignment="1">
      <alignment vertical="center"/>
    </xf>
    <xf numFmtId="0" fontId="2" fillId="0" borderId="0" xfId="6" applyFont="1" applyFill="1" applyAlignment="1">
      <alignment horizontal="left" vertical="center"/>
    </xf>
    <xf numFmtId="4" fontId="9" fillId="0" borderId="0" xfId="6" applyNumberFormat="1" applyFont="1" applyFill="1"/>
    <xf numFmtId="0" fontId="22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4" fontId="22" fillId="0" borderId="0" xfId="6" applyNumberFormat="1" applyFont="1" applyAlignment="1">
      <alignment vertical="center"/>
    </xf>
    <xf numFmtId="0" fontId="42" fillId="0" borderId="0" xfId="6" applyFont="1"/>
    <xf numFmtId="0" fontId="10" fillId="0" borderId="0" xfId="6" applyFont="1" applyFill="1" applyBorder="1" applyAlignment="1">
      <alignment vertical="center" wrapText="1"/>
    </xf>
    <xf numFmtId="4" fontId="10" fillId="0" borderId="0" xfId="6" applyNumberFormat="1" applyFont="1" applyFill="1" applyBorder="1" applyAlignment="1">
      <alignment vertical="center"/>
    </xf>
    <xf numFmtId="4" fontId="11" fillId="0" borderId="0" xfId="6" applyNumberFormat="1" applyFont="1" applyFill="1" applyBorder="1" applyAlignment="1">
      <alignment horizontal="right" vertical="center"/>
    </xf>
    <xf numFmtId="164" fontId="10" fillId="0" borderId="0" xfId="6" applyNumberFormat="1" applyFont="1" applyFill="1" applyBorder="1" applyAlignment="1">
      <alignment vertical="center"/>
    </xf>
    <xf numFmtId="0" fontId="9" fillId="2" borderId="14" xfId="6" applyFont="1" applyFill="1" applyBorder="1" applyAlignment="1">
      <alignment horizontal="left" vertical="center"/>
    </xf>
    <xf numFmtId="0" fontId="2" fillId="0" borderId="14" xfId="6" applyBorder="1"/>
    <xf numFmtId="0" fontId="2" fillId="0" borderId="14" xfId="6" applyBorder="1" applyAlignment="1">
      <alignment horizontal="right"/>
    </xf>
    <xf numFmtId="0" fontId="2" fillId="0" borderId="14" xfId="6" applyFont="1" applyFill="1" applyBorder="1" applyAlignment="1">
      <alignment horizontal="right"/>
    </xf>
    <xf numFmtId="164" fontId="12" fillId="0" borderId="5" xfId="6" applyNumberFormat="1" applyFont="1" applyFill="1" applyBorder="1" applyAlignment="1">
      <alignment vertical="center"/>
    </xf>
    <xf numFmtId="0" fontId="26" fillId="0" borderId="0" xfId="6" applyFont="1" applyFill="1" applyAlignment="1">
      <alignment vertical="center"/>
    </xf>
    <xf numFmtId="0" fontId="23" fillId="0" borderId="0" xfId="6" applyFont="1"/>
    <xf numFmtId="0" fontId="10" fillId="0" borderId="0" xfId="6" applyFont="1"/>
    <xf numFmtId="164" fontId="9" fillId="0" borderId="5" xfId="6" applyNumberFormat="1" applyFont="1" applyFill="1" applyBorder="1" applyAlignment="1">
      <alignment vertical="center"/>
    </xf>
    <xf numFmtId="0" fontId="2" fillId="2" borderId="0" xfId="6" applyFill="1"/>
    <xf numFmtId="0" fontId="26" fillId="0" borderId="0" xfId="6" applyFont="1" applyFill="1" applyBorder="1" applyAlignment="1">
      <alignment horizontal="center"/>
    </xf>
    <xf numFmtId="0" fontId="2" fillId="9" borderId="0" xfId="8" applyNumberFormat="1" applyFont="1" applyFill="1" applyBorder="1" applyAlignment="1">
      <alignment horizontal="center" vertical="center" wrapText="1"/>
    </xf>
    <xf numFmtId="0" fontId="34" fillId="9" borderId="0" xfId="6" applyFont="1" applyFill="1"/>
    <xf numFmtId="0" fontId="10" fillId="2" borderId="0" xfId="7" applyFont="1" applyFill="1" applyBorder="1" applyAlignment="1">
      <alignment vertical="center" wrapText="1"/>
    </xf>
    <xf numFmtId="4" fontId="10" fillId="2" borderId="0" xfId="6" applyNumberFormat="1" applyFont="1" applyFill="1" applyBorder="1" applyAlignment="1">
      <alignment vertical="center"/>
    </xf>
    <xf numFmtId="4" fontId="40" fillId="0" borderId="0" xfId="6" applyNumberFormat="1" applyFont="1" applyFill="1"/>
    <xf numFmtId="0" fontId="26" fillId="0" borderId="0" xfId="6" applyFont="1" applyFill="1" applyAlignment="1">
      <alignment vertical="top"/>
    </xf>
    <xf numFmtId="4" fontId="27" fillId="0" borderId="0" xfId="6" applyNumberFormat="1" applyFont="1" applyFill="1" applyAlignment="1">
      <alignment vertical="top"/>
    </xf>
    <xf numFmtId="0" fontId="7" fillId="2" borderId="8" xfId="6" applyFont="1" applyFill="1" applyBorder="1" applyAlignment="1">
      <alignment vertical="center" wrapText="1"/>
    </xf>
    <xf numFmtId="4" fontId="3" fillId="2" borderId="8" xfId="6" applyNumberFormat="1" applyFont="1" applyFill="1" applyBorder="1" applyAlignment="1">
      <alignment vertical="center"/>
    </xf>
    <xf numFmtId="164" fontId="15" fillId="0" borderId="8" xfId="6" applyNumberFormat="1" applyFont="1" applyFill="1" applyBorder="1" applyAlignment="1">
      <alignment vertical="center"/>
    </xf>
    <xf numFmtId="0" fontId="7" fillId="4" borderId="0" xfId="6" applyFont="1" applyFill="1" applyAlignment="1">
      <alignment horizontal="left"/>
    </xf>
    <xf numFmtId="0" fontId="24" fillId="0" borderId="0" xfId="6" applyFont="1"/>
    <xf numFmtId="0" fontId="7" fillId="0" borderId="0" xfId="6" applyFont="1"/>
    <xf numFmtId="0" fontId="8" fillId="2" borderId="0" xfId="6" applyFont="1" applyFill="1" applyBorder="1" applyAlignment="1">
      <alignment vertical="center" wrapText="1"/>
    </xf>
    <xf numFmtId="3" fontId="11" fillId="2" borderId="0" xfId="6" applyNumberFormat="1" applyFont="1" applyFill="1" applyBorder="1" applyAlignment="1">
      <alignment horizontal="right" vertical="center"/>
    </xf>
    <xf numFmtId="4" fontId="11" fillId="2" borderId="0" xfId="6" applyNumberFormat="1" applyFont="1" applyFill="1" applyBorder="1" applyAlignment="1">
      <alignment horizontal="right" vertical="center"/>
    </xf>
    <xf numFmtId="3" fontId="10" fillId="0" borderId="0" xfId="6" applyNumberFormat="1" applyFont="1" applyFill="1" applyBorder="1" applyAlignment="1">
      <alignment horizontal="left"/>
    </xf>
    <xf numFmtId="49" fontId="2" fillId="0" borderId="0" xfId="6" applyNumberFormat="1" applyFont="1" applyFill="1" applyBorder="1" applyAlignment="1">
      <alignment horizontal="left" vertical="center"/>
    </xf>
    <xf numFmtId="0" fontId="2" fillId="0" borderId="0" xfId="6" applyFont="1"/>
    <xf numFmtId="4" fontId="11" fillId="0" borderId="32" xfId="6" applyNumberFormat="1" applyFont="1" applyFill="1" applyBorder="1" applyAlignment="1">
      <alignment horizontal="right" vertical="center"/>
    </xf>
    <xf numFmtId="4" fontId="11" fillId="0" borderId="35" xfId="6" applyNumberFormat="1" applyFont="1" applyFill="1" applyBorder="1" applyAlignment="1">
      <alignment horizontal="right" vertical="center"/>
    </xf>
    <xf numFmtId="4" fontId="22" fillId="0" borderId="0" xfId="6" applyNumberFormat="1" applyFont="1"/>
    <xf numFmtId="3" fontId="10" fillId="0" borderId="0" xfId="6" applyNumberFormat="1" applyFont="1" applyFill="1" applyBorder="1" applyAlignment="1">
      <alignment horizontal="left" vertical="center"/>
    </xf>
    <xf numFmtId="0" fontId="22" fillId="0" borderId="0" xfId="6" applyFont="1" applyBorder="1" applyAlignment="1">
      <alignment vertical="center"/>
    </xf>
    <xf numFmtId="0" fontId="2" fillId="0" borderId="0" xfId="6" applyBorder="1" applyAlignment="1">
      <alignment vertical="center"/>
    </xf>
    <xf numFmtId="0" fontId="9" fillId="0" borderId="17" xfId="6" applyFont="1" applyFill="1" applyBorder="1" applyAlignment="1">
      <alignment horizontal="left" vertical="center"/>
    </xf>
    <xf numFmtId="4" fontId="9" fillId="0" borderId="10" xfId="6" applyNumberFormat="1" applyFont="1" applyFill="1" applyBorder="1" applyAlignment="1">
      <alignment horizontal="right" vertical="center"/>
    </xf>
    <xf numFmtId="164" fontId="12" fillId="0" borderId="11" xfId="6" applyNumberFormat="1" applyFont="1" applyFill="1" applyBorder="1" applyAlignment="1">
      <alignment vertical="center"/>
    </xf>
    <xf numFmtId="0" fontId="39" fillId="0" borderId="0" xfId="6" applyFont="1" applyFill="1"/>
    <xf numFmtId="0" fontId="44" fillId="0" borderId="0" xfId="6" applyFont="1"/>
    <xf numFmtId="4" fontId="43" fillId="0" borderId="0" xfId="6" applyNumberFormat="1" applyFont="1" applyFill="1"/>
    <xf numFmtId="4" fontId="27" fillId="0" borderId="0" xfId="6" applyNumberFormat="1" applyFont="1" applyFill="1"/>
    <xf numFmtId="0" fontId="2" fillId="0" borderId="0" xfId="6" applyBorder="1"/>
    <xf numFmtId="0" fontId="5" fillId="0" borderId="0" xfId="6" applyFont="1" applyFill="1" applyBorder="1" applyAlignment="1">
      <alignment horizontal="left"/>
    </xf>
    <xf numFmtId="0" fontId="2" fillId="0" borderId="0" xfId="6" applyFont="1" applyFill="1" applyAlignment="1">
      <alignment horizontal="left"/>
    </xf>
    <xf numFmtId="0" fontId="10" fillId="0" borderId="0" xfId="6" applyFont="1" applyBorder="1"/>
    <xf numFmtId="4" fontId="10" fillId="0" borderId="0" xfId="6" applyNumberFormat="1" applyFont="1" applyFill="1" applyBorder="1" applyAlignment="1">
      <alignment horizontal="right"/>
    </xf>
    <xf numFmtId="4" fontId="10" fillId="0" borderId="4" xfId="6" applyNumberFormat="1" applyFont="1" applyFill="1" applyBorder="1" applyAlignment="1">
      <alignment horizontal="right"/>
    </xf>
    <xf numFmtId="4" fontId="25" fillId="0" borderId="0" xfId="6" applyNumberFormat="1" applyFont="1" applyBorder="1"/>
    <xf numFmtId="0" fontId="7" fillId="6" borderId="0" xfId="6" applyFont="1" applyFill="1" applyAlignment="1">
      <alignment horizontal="left"/>
    </xf>
    <xf numFmtId="0" fontId="7" fillId="2" borderId="0" xfId="6" applyFont="1" applyFill="1" applyBorder="1" applyAlignment="1">
      <alignment vertical="center" wrapText="1"/>
    </xf>
    <xf numFmtId="4" fontId="3" fillId="2" borderId="0" xfId="6" applyNumberFormat="1" applyFont="1" applyFill="1" applyBorder="1" applyAlignment="1">
      <alignment vertical="center"/>
    </xf>
    <xf numFmtId="164" fontId="15" fillId="0" borderId="0" xfId="6" applyNumberFormat="1" applyFont="1" applyFill="1" applyBorder="1" applyAlignment="1">
      <alignment vertical="center"/>
    </xf>
    <xf numFmtId="4" fontId="9" fillId="0" borderId="13" xfId="6" applyNumberFormat="1" applyFont="1" applyFill="1" applyBorder="1" applyAlignment="1">
      <alignment horizontal="right" vertical="center"/>
    </xf>
    <xf numFmtId="164" fontId="10" fillId="8" borderId="5" xfId="6" applyNumberFormat="1" applyFont="1" applyFill="1" applyBorder="1" applyAlignment="1">
      <alignment vertical="center"/>
    </xf>
    <xf numFmtId="0" fontId="2" fillId="8" borderId="0" xfId="6" applyFont="1" applyFill="1" applyAlignment="1">
      <alignment horizontal="left" vertical="center"/>
    </xf>
    <xf numFmtId="0" fontId="33" fillId="8" borderId="0" xfId="6" applyFont="1" applyFill="1"/>
    <xf numFmtId="0" fontId="22" fillId="8" borderId="0" xfId="6" applyFont="1" applyFill="1"/>
    <xf numFmtId="0" fontId="2" fillId="8" borderId="0" xfId="6" applyFont="1" applyFill="1"/>
    <xf numFmtId="164" fontId="10" fillId="8" borderId="36" xfId="6" applyNumberFormat="1" applyFont="1" applyFill="1" applyBorder="1" applyAlignment="1">
      <alignment vertical="center"/>
    </xf>
    <xf numFmtId="0" fontId="2" fillId="8" borderId="0" xfId="6" applyFont="1" applyFill="1" applyAlignment="1">
      <alignment horizontal="left"/>
    </xf>
    <xf numFmtId="0" fontId="2" fillId="8" borderId="0" xfId="6" applyFont="1" applyFill="1" applyAlignment="1">
      <alignment vertical="center"/>
    </xf>
    <xf numFmtId="0" fontId="2" fillId="8" borderId="0" xfId="6" applyFill="1" applyBorder="1"/>
    <xf numFmtId="164" fontId="10" fillId="8" borderId="0" xfId="6" applyNumberFormat="1" applyFont="1" applyFill="1" applyBorder="1" applyAlignment="1">
      <alignment vertical="center"/>
    </xf>
    <xf numFmtId="0" fontId="5" fillId="8" borderId="0" xfId="6" applyFont="1" applyFill="1" applyBorder="1" applyAlignment="1">
      <alignment horizontal="left"/>
    </xf>
    <xf numFmtId="0" fontId="22" fillId="8" borderId="0" xfId="6" applyFont="1" applyFill="1" applyBorder="1"/>
    <xf numFmtId="0" fontId="9" fillId="8" borderId="0" xfId="6" applyFont="1" applyFill="1" applyBorder="1" applyAlignment="1">
      <alignment horizontal="left" vertical="center"/>
    </xf>
    <xf numFmtId="0" fontId="2" fillId="8" borderId="0" xfId="6" applyFill="1"/>
    <xf numFmtId="0" fontId="2" fillId="8" borderId="0" xfId="6" applyFont="1" applyFill="1" applyAlignment="1">
      <alignment horizontal="right"/>
    </xf>
    <xf numFmtId="0" fontId="8" fillId="8" borderId="7" xfId="6" applyFont="1" applyFill="1" applyBorder="1" applyAlignment="1">
      <alignment horizontal="center" vertical="center"/>
    </xf>
    <xf numFmtId="0" fontId="2" fillId="8" borderId="2" xfId="6" applyFill="1" applyBorder="1" applyAlignment="1">
      <alignment horizontal="center" vertical="center"/>
    </xf>
    <xf numFmtId="4" fontId="2" fillId="8" borderId="1" xfId="6" applyNumberFormat="1" applyFill="1" applyBorder="1" applyAlignment="1">
      <alignment horizontal="center" vertical="center"/>
    </xf>
    <xf numFmtId="0" fontId="2" fillId="8" borderId="3" xfId="6" applyFill="1" applyBorder="1" applyAlignment="1">
      <alignment horizontal="center" vertical="center"/>
    </xf>
    <xf numFmtId="0" fontId="9" fillId="8" borderId="17" xfId="6" applyFont="1" applyFill="1" applyBorder="1" applyAlignment="1">
      <alignment horizontal="left" vertical="center"/>
    </xf>
    <xf numFmtId="4" fontId="9" fillId="8" borderId="20" xfId="6" applyNumberFormat="1" applyFont="1" applyFill="1" applyBorder="1" applyAlignment="1">
      <alignment horizontal="right" vertical="center"/>
    </xf>
    <xf numFmtId="164" fontId="12" fillId="8" borderId="11" xfId="6" applyNumberFormat="1" applyFont="1" applyFill="1" applyBorder="1" applyAlignment="1">
      <alignment vertical="center"/>
    </xf>
    <xf numFmtId="0" fontId="26" fillId="8" borderId="0" xfId="6" applyFont="1" applyFill="1" applyAlignment="1">
      <alignment vertical="center"/>
    </xf>
    <xf numFmtId="0" fontId="10" fillId="8" borderId="0" xfId="6" applyFont="1" applyFill="1" applyBorder="1" applyAlignment="1">
      <alignment horizontal="left" vertical="center"/>
    </xf>
    <xf numFmtId="0" fontId="5" fillId="8" borderId="0" xfId="6" applyFont="1" applyFill="1" applyAlignment="1">
      <alignment horizontal="left"/>
    </xf>
    <xf numFmtId="4" fontId="6" fillId="0" borderId="0" xfId="6" applyNumberFormat="1" applyFont="1" applyFill="1"/>
    <xf numFmtId="0" fontId="7" fillId="3" borderId="0" xfId="6" applyFont="1" applyFill="1" applyAlignment="1">
      <alignment horizontal="left"/>
    </xf>
    <xf numFmtId="0" fontId="10" fillId="0" borderId="0" xfId="6" applyFont="1" applyAlignment="1">
      <alignment vertical="center"/>
    </xf>
    <xf numFmtId="0" fontId="41" fillId="0" borderId="0" xfId="6" applyFont="1"/>
    <xf numFmtId="0" fontId="10" fillId="0" borderId="34" xfId="6" applyFont="1" applyFill="1" applyBorder="1" applyAlignment="1">
      <alignment vertical="center" wrapText="1"/>
    </xf>
    <xf numFmtId="4" fontId="23" fillId="0" borderId="0" xfId="6" applyNumberFormat="1" applyFont="1" applyAlignment="1">
      <alignment vertical="center"/>
    </xf>
    <xf numFmtId="4" fontId="12" fillId="0" borderId="0" xfId="6" applyNumberFormat="1" applyFont="1" applyAlignment="1">
      <alignment vertical="center"/>
    </xf>
    <xf numFmtId="0" fontId="2" fillId="0" borderId="0" xfId="6" applyFill="1" applyAlignment="1">
      <alignment horizontal="right"/>
    </xf>
    <xf numFmtId="4" fontId="2" fillId="0" borderId="0" xfId="6" applyNumberFormat="1" applyFill="1" applyAlignment="1">
      <alignment horizontal="right"/>
    </xf>
    <xf numFmtId="0" fontId="8" fillId="0" borderId="19" xfId="6" applyFont="1" applyFill="1" applyBorder="1" applyAlignment="1">
      <alignment horizontal="center" vertical="center"/>
    </xf>
    <xf numFmtId="4" fontId="9" fillId="0" borderId="10" xfId="6" applyNumberFormat="1" applyFont="1" applyFill="1" applyBorder="1" applyAlignment="1">
      <alignment horizontal="right"/>
    </xf>
    <xf numFmtId="164" fontId="12" fillId="0" borderId="39" xfId="6" applyNumberFormat="1" applyFont="1" applyFill="1" applyBorder="1" applyAlignment="1">
      <alignment vertical="center"/>
    </xf>
    <xf numFmtId="164" fontId="10" fillId="0" borderId="40" xfId="6" applyNumberFormat="1" applyFont="1" applyFill="1" applyBorder="1" applyAlignment="1">
      <alignment vertical="center"/>
    </xf>
    <xf numFmtId="0" fontId="2" fillId="0" borderId="0" xfId="6" applyFont="1" applyFill="1" applyBorder="1" applyAlignment="1">
      <alignment horizontal="left"/>
    </xf>
    <xf numFmtId="4" fontId="10" fillId="0" borderId="35" xfId="6" applyNumberFormat="1" applyFont="1" applyFill="1" applyBorder="1" applyAlignment="1">
      <alignment horizontal="right"/>
    </xf>
    <xf numFmtId="0" fontId="7" fillId="2" borderId="8" xfId="6" applyFont="1" applyFill="1" applyBorder="1" applyAlignment="1">
      <alignment horizontal="left" vertical="center"/>
    </xf>
    <xf numFmtId="4" fontId="3" fillId="2" borderId="8" xfId="6" applyNumberFormat="1" applyFont="1" applyFill="1" applyBorder="1" applyAlignment="1">
      <alignment horizontal="right" vertical="center"/>
    </xf>
    <xf numFmtId="0" fontId="9" fillId="0" borderId="12" xfId="6" applyFont="1" applyFill="1" applyBorder="1" applyAlignment="1">
      <alignment horizontal="left" vertical="center"/>
    </xf>
    <xf numFmtId="4" fontId="9" fillId="0" borderId="4" xfId="6" applyNumberFormat="1" applyFont="1" applyFill="1" applyBorder="1" applyAlignment="1">
      <alignment horizontal="right"/>
    </xf>
    <xf numFmtId="0" fontId="9" fillId="0" borderId="0" xfId="6" applyFont="1" applyFill="1" applyBorder="1" applyAlignment="1">
      <alignment horizontal="left"/>
    </xf>
    <xf numFmtId="4" fontId="9" fillId="0" borderId="0" xfId="6" applyNumberFormat="1" applyFont="1" applyFill="1" applyBorder="1" applyAlignment="1">
      <alignment horizontal="right"/>
    </xf>
    <xf numFmtId="164" fontId="9" fillId="0" borderId="0" xfId="6" applyNumberFormat="1" applyFont="1" applyFill="1" applyBorder="1" applyAlignment="1">
      <alignment horizontal="right"/>
    </xf>
    <xf numFmtId="0" fontId="7" fillId="2" borderId="0" xfId="6" applyFont="1" applyFill="1" applyBorder="1" applyAlignment="1">
      <alignment horizontal="left" vertical="center"/>
    </xf>
    <xf numFmtId="4" fontId="3" fillId="2" borderId="0" xfId="6" applyNumberFormat="1" applyFont="1" applyFill="1" applyBorder="1" applyAlignment="1">
      <alignment horizontal="right" vertical="center"/>
    </xf>
    <xf numFmtId="4" fontId="10" fillId="0" borderId="0" xfId="6" applyNumberFormat="1" applyFont="1" applyFill="1" applyBorder="1"/>
    <xf numFmtId="0" fontId="2" fillId="4" borderId="0" xfId="6" applyFont="1" applyFill="1" applyAlignment="1">
      <alignment horizontal="left"/>
    </xf>
    <xf numFmtId="0" fontId="13" fillId="0" borderId="0" xfId="6" applyFont="1" applyFill="1" applyBorder="1" applyAlignment="1">
      <alignment horizontal="left"/>
    </xf>
    <xf numFmtId="0" fontId="14" fillId="0" borderId="0" xfId="6" applyFont="1" applyFill="1" applyBorder="1"/>
    <xf numFmtId="0" fontId="2" fillId="3" borderId="0" xfId="6" applyFont="1" applyFill="1" applyAlignment="1">
      <alignment horizontal="left"/>
    </xf>
    <xf numFmtId="0" fontId="14" fillId="0" borderId="0" xfId="6" applyFont="1" applyFill="1" applyBorder="1" applyAlignment="1">
      <alignment horizontal="left"/>
    </xf>
    <xf numFmtId="164" fontId="14" fillId="0" borderId="0" xfId="6" applyNumberFormat="1" applyFont="1" applyFill="1" applyBorder="1"/>
    <xf numFmtId="0" fontId="2" fillId="6" borderId="0" xfId="6" applyFont="1" applyFill="1" applyAlignment="1">
      <alignment horizontal="left"/>
    </xf>
    <xf numFmtId="0" fontId="2" fillId="7" borderId="0" xfId="6" applyFont="1" applyFill="1" applyAlignment="1">
      <alignment horizontal="left"/>
    </xf>
    <xf numFmtId="0" fontId="15" fillId="0" borderId="8" xfId="6" applyFont="1" applyFill="1" applyBorder="1" applyAlignment="1">
      <alignment horizontal="left"/>
    </xf>
    <xf numFmtId="4" fontId="12" fillId="0" borderId="8" xfId="6" applyNumberFormat="1" applyFont="1" applyFill="1" applyBorder="1"/>
    <xf numFmtId="164" fontId="12" fillId="0" borderId="8" xfId="6" applyNumberFormat="1" applyFont="1" applyFill="1" applyBorder="1"/>
    <xf numFmtId="4" fontId="39" fillId="0" borderId="0" xfId="6" applyNumberFormat="1" applyFont="1"/>
    <xf numFmtId="0" fontId="38" fillId="0" borderId="0" xfId="6" applyFont="1"/>
    <xf numFmtId="4" fontId="44" fillId="0" borderId="0" xfId="6" applyNumberFormat="1" applyFont="1" applyFill="1"/>
    <xf numFmtId="4" fontId="26" fillId="0" borderId="0" xfId="6" applyNumberFormat="1" applyFont="1" applyFill="1"/>
    <xf numFmtId="4" fontId="6" fillId="0" borderId="0" xfId="6" applyNumberFormat="1" applyFont="1"/>
    <xf numFmtId="0" fontId="2" fillId="0" borderId="0" xfId="6" applyFill="1" applyBorder="1" applyAlignment="1">
      <alignment horizontal="center"/>
    </xf>
    <xf numFmtId="4" fontId="6" fillId="0" borderId="0" xfId="6" applyNumberFormat="1" applyFont="1" applyFill="1" applyBorder="1" applyAlignment="1">
      <alignment horizontal="right"/>
    </xf>
    <xf numFmtId="0" fontId="2" fillId="0" borderId="0" xfId="6" applyFont="1" applyFill="1" applyBorder="1" applyAlignment="1">
      <alignment horizontal="center"/>
    </xf>
    <xf numFmtId="4" fontId="2" fillId="0" borderId="0" xfId="6" applyNumberFormat="1" applyFill="1" applyBorder="1" applyAlignment="1">
      <alignment horizontal="right"/>
    </xf>
    <xf numFmtId="0" fontId="2" fillId="0" borderId="0" xfId="6" applyFont="1" applyFill="1" applyAlignment="1">
      <alignment horizontal="center"/>
    </xf>
    <xf numFmtId="4" fontId="10" fillId="0" borderId="27" xfId="6" applyNumberFormat="1" applyFont="1" applyFill="1" applyBorder="1" applyAlignment="1">
      <alignment horizontal="right" vertical="center"/>
    </xf>
    <xf numFmtId="164" fontId="10" fillId="0" borderId="28" xfId="6" applyNumberFormat="1" applyFont="1" applyFill="1" applyBorder="1" applyAlignment="1">
      <alignment vertical="center"/>
    </xf>
    <xf numFmtId="4" fontId="3" fillId="8" borderId="8" xfId="6" applyNumberFormat="1" applyFont="1" applyFill="1" applyBorder="1" applyAlignment="1">
      <alignment vertical="center"/>
    </xf>
    <xf numFmtId="0" fontId="46" fillId="0" borderId="0" xfId="1" applyFont="1" applyAlignment="1">
      <alignment vertical="center"/>
    </xf>
    <xf numFmtId="4" fontId="47" fillId="0" borderId="0" xfId="6" applyNumberFormat="1" applyFont="1" applyFill="1"/>
    <xf numFmtId="4" fontId="33" fillId="8" borderId="0" xfId="6" applyNumberFormat="1" applyFont="1" applyFill="1" applyBorder="1"/>
    <xf numFmtId="0" fontId="48" fillId="0" borderId="0" xfId="6" applyFont="1"/>
    <xf numFmtId="0" fontId="49" fillId="0" borderId="0" xfId="6" applyFont="1"/>
    <xf numFmtId="0" fontId="50" fillId="8" borderId="0" xfId="6" applyFont="1" applyFill="1"/>
    <xf numFmtId="4" fontId="50" fillId="0" borderId="0" xfId="6" applyNumberFormat="1" applyFont="1"/>
    <xf numFmtId="4" fontId="23" fillId="0" borderId="0" xfId="6" applyNumberFormat="1" applyFont="1"/>
    <xf numFmtId="4" fontId="2" fillId="8" borderId="0" xfId="6" applyNumberFormat="1" applyFont="1" applyFill="1"/>
    <xf numFmtId="4" fontId="10" fillId="0" borderId="27" xfId="1" applyNumberFormat="1" applyFont="1" applyFill="1" applyBorder="1" applyAlignment="1">
      <alignment vertical="center"/>
    </xf>
    <xf numFmtId="4" fontId="10" fillId="0" borderId="29" xfId="1" applyNumberFormat="1" applyFont="1" applyFill="1" applyBorder="1" applyAlignment="1">
      <alignment horizontal="right" vertical="center"/>
    </xf>
    <xf numFmtId="0" fontId="10" fillId="0" borderId="26" xfId="1" applyFont="1" applyFill="1" applyBorder="1" applyAlignment="1">
      <alignment horizontal="left" vertical="center" wrapText="1"/>
    </xf>
    <xf numFmtId="4" fontId="10" fillId="0" borderId="30" xfId="1" applyNumberFormat="1" applyFont="1" applyFill="1" applyBorder="1" applyAlignment="1">
      <alignment horizontal="right" vertical="center"/>
    </xf>
    <xf numFmtId="4" fontId="10" fillId="0" borderId="23" xfId="1" applyNumberFormat="1" applyFont="1" applyFill="1" applyBorder="1" applyAlignment="1">
      <alignment horizontal="right" vertical="center"/>
    </xf>
    <xf numFmtId="4" fontId="10" fillId="0" borderId="27" xfId="1" applyNumberFormat="1" applyFont="1" applyFill="1" applyBorder="1" applyAlignment="1">
      <alignment horizontal="right"/>
    </xf>
    <xf numFmtId="4" fontId="10" fillId="0" borderId="23" xfId="1" applyNumberFormat="1" applyFont="1" applyFill="1" applyBorder="1"/>
    <xf numFmtId="4" fontId="10" fillId="0" borderId="27" xfId="1" applyNumberFormat="1" applyFont="1" applyFill="1" applyBorder="1"/>
    <xf numFmtId="0" fontId="10" fillId="0" borderId="22" xfId="6" applyFont="1" applyFill="1" applyBorder="1" applyAlignment="1">
      <alignment vertical="center" wrapText="1"/>
    </xf>
    <xf numFmtId="4" fontId="11" fillId="0" borderId="23" xfId="6" applyNumberFormat="1" applyFont="1" applyFill="1" applyBorder="1" applyAlignment="1">
      <alignment vertical="center"/>
    </xf>
    <xf numFmtId="164" fontId="10" fillId="0" borderId="25" xfId="6" applyNumberFormat="1" applyFont="1" applyFill="1" applyBorder="1" applyAlignment="1">
      <alignment vertical="center"/>
    </xf>
    <xf numFmtId="4" fontId="11" fillId="0" borderId="23" xfId="6" applyNumberFormat="1" applyFont="1" applyFill="1" applyBorder="1" applyAlignment="1">
      <alignment horizontal="right" vertical="center"/>
    </xf>
    <xf numFmtId="4" fontId="11" fillId="0" borderId="27" xfId="6" applyNumberFormat="1" applyFont="1" applyFill="1" applyBorder="1" applyAlignment="1">
      <alignment horizontal="right" vertical="center"/>
    </xf>
    <xf numFmtId="0" fontId="10" fillId="8" borderId="22" xfId="6" applyFont="1" applyFill="1" applyBorder="1" applyAlignment="1">
      <alignment vertical="center" wrapText="1"/>
    </xf>
    <xf numFmtId="164" fontId="10" fillId="8" borderId="25" xfId="6" applyNumberFormat="1" applyFont="1" applyFill="1" applyBorder="1" applyAlignment="1">
      <alignment vertical="center"/>
    </xf>
    <xf numFmtId="4" fontId="10" fillId="0" borderId="29" xfId="6" applyNumberFormat="1" applyFont="1" applyFill="1" applyBorder="1" applyAlignment="1">
      <alignment vertical="center"/>
    </xf>
    <xf numFmtId="4" fontId="10" fillId="0" borderId="30" xfId="6" applyNumberFormat="1" applyFont="1" applyFill="1" applyBorder="1" applyAlignment="1">
      <alignment vertical="center"/>
    </xf>
    <xf numFmtId="0" fontId="7" fillId="2" borderId="41" xfId="6" applyFont="1" applyFill="1" applyBorder="1" applyAlignment="1">
      <alignment horizontal="left" vertical="center"/>
    </xf>
    <xf numFmtId="164" fontId="15" fillId="0" borderId="42" xfId="6" applyNumberFormat="1" applyFont="1" applyFill="1" applyBorder="1" applyAlignment="1">
      <alignment vertical="center"/>
    </xf>
    <xf numFmtId="0" fontId="16" fillId="0" borderId="12" xfId="6" applyFont="1" applyFill="1" applyBorder="1" applyAlignment="1">
      <alignment horizontal="left" vertical="center"/>
    </xf>
    <xf numFmtId="4" fontId="10" fillId="0" borderId="27" xfId="6" applyNumberFormat="1" applyFont="1" applyFill="1" applyBorder="1" applyAlignment="1">
      <alignment horizontal="right"/>
    </xf>
    <xf numFmtId="0" fontId="10" fillId="0" borderId="0" xfId="1" applyFont="1" applyFill="1" applyBorder="1" applyAlignment="1">
      <alignment wrapText="1"/>
    </xf>
    <xf numFmtId="0" fontId="22" fillId="0" borderId="0" xfId="1" applyFont="1" applyAlignment="1">
      <alignment horizontal="right"/>
    </xf>
    <xf numFmtId="0" fontId="35" fillId="0" borderId="0" xfId="1" applyFont="1" applyAlignment="1">
      <alignment horizontal="right"/>
    </xf>
    <xf numFmtId="0" fontId="34" fillId="9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44" fillId="0" borderId="0" xfId="1" applyFont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30" fillId="0" borderId="43" xfId="1" applyFont="1" applyFill="1" applyBorder="1"/>
    <xf numFmtId="0" fontId="29" fillId="0" borderId="44" xfId="1" applyFont="1" applyFill="1" applyBorder="1"/>
    <xf numFmtId="0" fontId="30" fillId="0" borderId="47" xfId="1" applyFont="1" applyFill="1" applyBorder="1"/>
    <xf numFmtId="4" fontId="30" fillId="0" borderId="48" xfId="1" applyNumberFormat="1" applyFont="1" applyFill="1" applyBorder="1" applyAlignment="1">
      <alignment horizontal="right"/>
    </xf>
    <xf numFmtId="4" fontId="29" fillId="0" borderId="49" xfId="1" applyNumberFormat="1" applyFont="1" applyFill="1" applyBorder="1" applyAlignment="1">
      <alignment horizontal="right"/>
    </xf>
    <xf numFmtId="4" fontId="30" fillId="0" borderId="50" xfId="1" applyNumberFormat="1" applyFont="1" applyFill="1" applyBorder="1" applyAlignment="1">
      <alignment horizontal="right"/>
    </xf>
    <xf numFmtId="0" fontId="48" fillId="0" borderId="0" xfId="1" applyFont="1" applyAlignment="1">
      <alignment horizontal="right"/>
    </xf>
    <xf numFmtId="4" fontId="51" fillId="0" borderId="0" xfId="1" applyNumberFormat="1" applyFont="1"/>
    <xf numFmtId="4" fontId="17" fillId="0" borderId="5" xfId="1" applyNumberFormat="1" applyFont="1" applyFill="1" applyBorder="1"/>
    <xf numFmtId="4" fontId="3" fillId="0" borderId="16" xfId="1" applyNumberFormat="1" applyFont="1" applyBorder="1"/>
    <xf numFmtId="0" fontId="4" fillId="0" borderId="14" xfId="1" applyFill="1" applyBorder="1"/>
    <xf numFmtId="4" fontId="3" fillId="0" borderId="8" xfId="1" applyNumberFormat="1" applyFont="1" applyFill="1" applyBorder="1" applyAlignment="1">
      <alignment vertical="center"/>
    </xf>
    <xf numFmtId="4" fontId="10" fillId="0" borderId="27" xfId="1" applyNumberFormat="1" applyFont="1" applyFill="1" applyBorder="1" applyAlignment="1">
      <alignment horizontal="right" vertical="center"/>
    </xf>
    <xf numFmtId="0" fontId="4" fillId="0" borderId="0" xfId="1" applyFill="1" applyBorder="1"/>
    <xf numFmtId="4" fontId="25" fillId="0" borderId="0" xfId="1" applyNumberFormat="1" applyFont="1" applyFill="1" applyBorder="1"/>
    <xf numFmtId="4" fontId="3" fillId="0" borderId="0" xfId="1" applyNumberFormat="1" applyFont="1" applyFill="1" applyBorder="1" applyAlignment="1">
      <alignment vertical="center"/>
    </xf>
    <xf numFmtId="4" fontId="10" fillId="0" borderId="29" xfId="1" applyNumberFormat="1" applyFont="1" applyFill="1" applyBorder="1" applyAlignment="1">
      <alignment horizontal="right"/>
    </xf>
    <xf numFmtId="4" fontId="9" fillId="0" borderId="20" xfId="1" applyNumberFormat="1" applyFont="1" applyFill="1" applyBorder="1" applyAlignment="1">
      <alignment horizontal="right" vertical="center"/>
    </xf>
    <xf numFmtId="4" fontId="10" fillId="0" borderId="23" xfId="6" applyNumberFormat="1" applyFont="1" applyFill="1" applyBorder="1" applyAlignment="1">
      <alignment vertical="center"/>
    </xf>
    <xf numFmtId="4" fontId="10" fillId="0" borderId="32" xfId="6" applyNumberFormat="1" applyFont="1" applyFill="1" applyBorder="1" applyAlignment="1">
      <alignment vertical="center"/>
    </xf>
    <xf numFmtId="4" fontId="10" fillId="0" borderId="35" xfId="6" applyNumberFormat="1" applyFont="1" applyFill="1" applyBorder="1" applyAlignment="1">
      <alignment vertical="center"/>
    </xf>
    <xf numFmtId="4" fontId="10" fillId="0" borderId="27" xfId="6" applyNumberFormat="1" applyFont="1" applyFill="1" applyBorder="1" applyAlignment="1">
      <alignment vertical="center"/>
    </xf>
    <xf numFmtId="0" fontId="2" fillId="0" borderId="14" xfId="6" applyFill="1" applyBorder="1"/>
    <xf numFmtId="4" fontId="3" fillId="0" borderId="8" xfId="6" applyNumberFormat="1" applyFont="1" applyFill="1" applyBorder="1" applyAlignment="1">
      <alignment vertical="center"/>
    </xf>
    <xf numFmtId="0" fontId="2" fillId="0" borderId="0" xfId="6" applyFill="1" applyBorder="1"/>
    <xf numFmtId="4" fontId="25" fillId="0" borderId="0" xfId="6" applyNumberFormat="1" applyFont="1" applyFill="1" applyBorder="1"/>
    <xf numFmtId="4" fontId="3" fillId="0" borderId="0" xfId="6" applyNumberFormat="1" applyFont="1" applyFill="1" applyBorder="1" applyAlignment="1">
      <alignment vertical="center"/>
    </xf>
    <xf numFmtId="4" fontId="9" fillId="0" borderId="20" xfId="6" applyNumberFormat="1" applyFont="1" applyFill="1" applyBorder="1" applyAlignment="1">
      <alignment horizontal="right" vertical="center"/>
    </xf>
    <xf numFmtId="3" fontId="2" fillId="0" borderId="0" xfId="6" applyNumberFormat="1" applyFill="1" applyAlignment="1">
      <alignment horizontal="right"/>
    </xf>
    <xf numFmtId="4" fontId="3" fillId="0" borderId="8" xfId="6" applyNumberFormat="1" applyFont="1" applyFill="1" applyBorder="1" applyAlignment="1">
      <alignment horizontal="right" vertical="center"/>
    </xf>
    <xf numFmtId="0" fontId="10" fillId="8" borderId="0" xfId="1" applyFont="1" applyFill="1" applyBorder="1" applyAlignment="1">
      <alignment horizontal="left" vertical="center"/>
    </xf>
    <xf numFmtId="0" fontId="10" fillId="8" borderId="18" xfId="1" applyFont="1" applyFill="1" applyBorder="1" applyAlignment="1">
      <alignment horizontal="left" vertical="center" wrapText="1"/>
    </xf>
    <xf numFmtId="4" fontId="10" fillId="0" borderId="35" xfId="1" applyNumberFormat="1" applyFont="1" applyFill="1" applyBorder="1" applyAlignment="1">
      <alignment vertical="center"/>
    </xf>
    <xf numFmtId="164" fontId="10" fillId="0" borderId="36" xfId="1" applyNumberFormat="1" applyFont="1" applyFill="1" applyBorder="1" applyAlignment="1">
      <alignment vertical="center"/>
    </xf>
    <xf numFmtId="0" fontId="10" fillId="0" borderId="34" xfId="1" applyFont="1" applyFill="1" applyBorder="1" applyAlignment="1">
      <alignment vertical="center" wrapText="1"/>
    </xf>
    <xf numFmtId="4" fontId="11" fillId="0" borderId="35" xfId="1" applyNumberFormat="1" applyFont="1" applyFill="1" applyBorder="1" applyAlignment="1">
      <alignment horizontal="right" vertical="center"/>
    </xf>
    <xf numFmtId="0" fontId="10" fillId="0" borderId="34" xfId="1" applyFont="1" applyFill="1" applyBorder="1" applyAlignment="1">
      <alignment wrapText="1"/>
    </xf>
    <xf numFmtId="4" fontId="10" fillId="0" borderId="35" xfId="1" applyNumberFormat="1" applyFont="1" applyFill="1" applyBorder="1" applyAlignment="1">
      <alignment horizontal="right" vertical="center"/>
    </xf>
    <xf numFmtId="0" fontId="10" fillId="0" borderId="34" xfId="1" applyFont="1" applyFill="1" applyBorder="1"/>
    <xf numFmtId="4" fontId="10" fillId="0" borderId="35" xfId="1" applyNumberFormat="1" applyFont="1" applyFill="1" applyBorder="1" applyAlignment="1">
      <alignment horizontal="right"/>
    </xf>
    <xf numFmtId="0" fontId="10" fillId="8" borderId="34" xfId="1" applyFont="1" applyFill="1" applyBorder="1"/>
    <xf numFmtId="4" fontId="10" fillId="8" borderId="35" xfId="1" applyNumberFormat="1" applyFont="1" applyFill="1" applyBorder="1" applyAlignment="1">
      <alignment horizontal="right"/>
    </xf>
    <xf numFmtId="4" fontId="10" fillId="8" borderId="38" xfId="1" applyNumberFormat="1" applyFont="1" applyFill="1" applyBorder="1" applyAlignment="1">
      <alignment horizontal="right"/>
    </xf>
    <xf numFmtId="164" fontId="10" fillId="8" borderId="36" xfId="1" applyNumberFormat="1" applyFont="1" applyFill="1" applyBorder="1" applyAlignment="1">
      <alignment vertical="center"/>
    </xf>
    <xf numFmtId="4" fontId="10" fillId="8" borderId="35" xfId="1" applyNumberFormat="1" applyFont="1" applyFill="1" applyBorder="1"/>
    <xf numFmtId="4" fontId="10" fillId="0" borderId="38" xfId="1" applyNumberFormat="1" applyFont="1" applyFill="1" applyBorder="1"/>
    <xf numFmtId="0" fontId="9" fillId="0" borderId="31" xfId="1" applyFont="1" applyFill="1" applyBorder="1" applyAlignment="1">
      <alignment horizontal="left" vertical="center"/>
    </xf>
    <xf numFmtId="4" fontId="9" fillId="0" borderId="37" xfId="1" applyNumberFormat="1" applyFont="1" applyFill="1" applyBorder="1" applyAlignment="1">
      <alignment horizontal="right" vertical="center"/>
    </xf>
    <xf numFmtId="164" fontId="12" fillId="0" borderId="33" xfId="1" applyNumberFormat="1" applyFont="1" applyFill="1" applyBorder="1" applyAlignment="1">
      <alignment vertical="center"/>
    </xf>
    <xf numFmtId="4" fontId="10" fillId="0" borderId="4" xfId="6" applyNumberFormat="1" applyFont="1" applyFill="1" applyBorder="1" applyAlignment="1">
      <alignment horizontal="right" vertical="center"/>
    </xf>
    <xf numFmtId="4" fontId="20" fillId="0" borderId="0" xfId="1" applyNumberFormat="1" applyFont="1"/>
    <xf numFmtId="0" fontId="2" fillId="0" borderId="0" xfId="6" applyNumberFormat="1" applyFont="1" applyFill="1" applyBorder="1" applyAlignment="1">
      <alignment horizontal="left" vertical="center"/>
    </xf>
    <xf numFmtId="4" fontId="4" fillId="0" borderId="0" xfId="1" applyNumberFormat="1" applyFont="1"/>
    <xf numFmtId="0" fontId="3" fillId="0" borderId="0" xfId="1" applyFont="1" applyBorder="1" applyAlignment="1">
      <alignment horizontal="left"/>
    </xf>
    <xf numFmtId="4" fontId="23" fillId="0" borderId="0" xfId="1" applyNumberFormat="1" applyFont="1"/>
    <xf numFmtId="4" fontId="30" fillId="0" borderId="0" xfId="1" applyNumberFormat="1" applyFont="1" applyFill="1"/>
    <xf numFmtId="4" fontId="17" fillId="0" borderId="0" xfId="1" applyNumberFormat="1" applyFont="1"/>
    <xf numFmtId="0" fontId="10" fillId="0" borderId="31" xfId="1" applyFont="1" applyFill="1" applyBorder="1" applyAlignment="1">
      <alignment vertical="center" wrapText="1"/>
    </xf>
    <xf numFmtId="4" fontId="10" fillId="0" borderId="32" xfId="1" applyNumberFormat="1" applyFont="1" applyFill="1" applyBorder="1" applyAlignment="1">
      <alignment vertical="center"/>
    </xf>
    <xf numFmtId="164" fontId="10" fillId="0" borderId="33" xfId="1" applyNumberFormat="1" applyFont="1" applyFill="1" applyBorder="1" applyAlignment="1">
      <alignment vertical="center"/>
    </xf>
    <xf numFmtId="0" fontId="10" fillId="0" borderId="31" xfId="1" applyFont="1" applyFill="1" applyBorder="1"/>
    <xf numFmtId="4" fontId="10" fillId="0" borderId="32" xfId="1" applyNumberFormat="1" applyFont="1" applyFill="1" applyBorder="1"/>
    <xf numFmtId="4" fontId="10" fillId="0" borderId="32" xfId="1" applyNumberFormat="1" applyFont="1" applyFill="1" applyBorder="1" applyAlignment="1">
      <alignment horizontal="right"/>
    </xf>
    <xf numFmtId="4" fontId="10" fillId="0" borderId="37" xfId="1" applyNumberFormat="1" applyFont="1" applyFill="1" applyBorder="1" applyAlignment="1">
      <alignment vertical="center"/>
    </xf>
    <xf numFmtId="4" fontId="28" fillId="0" borderId="0" xfId="1" applyNumberFormat="1" applyFont="1" applyFill="1"/>
    <xf numFmtId="0" fontId="49" fillId="8" borderId="0" xfId="6" applyFont="1" applyFill="1"/>
    <xf numFmtId="0" fontId="2" fillId="0" borderId="22" xfId="6" applyBorder="1" applyAlignment="1">
      <alignment vertical="center" wrapText="1"/>
    </xf>
    <xf numFmtId="0" fontId="10" fillId="0" borderId="26" xfId="6" applyFont="1" applyFill="1" applyBorder="1" applyAlignment="1">
      <alignment horizontal="left" vertical="center" wrapText="1"/>
    </xf>
    <xf numFmtId="0" fontId="2" fillId="0" borderId="31" xfId="6" applyFont="1" applyBorder="1" applyAlignment="1">
      <alignment vertical="center" wrapText="1"/>
    </xf>
    <xf numFmtId="0" fontId="54" fillId="8" borderId="0" xfId="6" applyFont="1" applyFill="1"/>
    <xf numFmtId="0" fontId="50" fillId="0" borderId="0" xfId="6" applyFont="1"/>
    <xf numFmtId="4" fontId="10" fillId="0" borderId="23" xfId="6" applyNumberFormat="1" applyFont="1" applyFill="1" applyBorder="1" applyAlignment="1">
      <alignment horizontal="right"/>
    </xf>
    <xf numFmtId="4" fontId="55" fillId="0" borderId="0" xfId="6" applyNumberFormat="1" applyFont="1" applyFill="1"/>
    <xf numFmtId="4" fontId="56" fillId="0" borderId="0" xfId="6" applyNumberFormat="1" applyFont="1" applyFill="1"/>
    <xf numFmtId="4" fontId="49" fillId="8" borderId="0" xfId="6" applyNumberFormat="1" applyFont="1" applyFill="1"/>
    <xf numFmtId="4" fontId="50" fillId="8" borderId="0" xfId="6" applyNumberFormat="1" applyFont="1" applyFill="1" applyBorder="1"/>
    <xf numFmtId="4" fontId="10" fillId="0" borderId="35" xfId="6" applyNumberFormat="1" applyFont="1" applyFill="1" applyBorder="1"/>
    <xf numFmtId="4" fontId="10" fillId="0" borderId="29" xfId="6" applyNumberFormat="1" applyFont="1" applyFill="1" applyBorder="1" applyAlignment="1">
      <alignment horizontal="right"/>
    </xf>
    <xf numFmtId="4" fontId="10" fillId="0" borderId="29" xfId="6" applyNumberFormat="1" applyFont="1" applyFill="1" applyBorder="1" applyAlignment="1">
      <alignment horizontal="right" vertical="center"/>
    </xf>
    <xf numFmtId="4" fontId="10" fillId="0" borderId="37" xfId="6" applyNumberFormat="1" applyFont="1" applyFill="1" applyBorder="1" applyAlignment="1">
      <alignment horizontal="right"/>
    </xf>
    <xf numFmtId="4" fontId="10" fillId="0" borderId="37" xfId="6" applyNumberFormat="1" applyFont="1" applyFill="1" applyBorder="1" applyAlignment="1">
      <alignment horizontal="right" vertical="center"/>
    </xf>
    <xf numFmtId="0" fontId="6" fillId="0" borderId="0" xfId="6" applyFont="1"/>
    <xf numFmtId="0" fontId="54" fillId="0" borderId="0" xfId="6" applyFont="1"/>
    <xf numFmtId="4" fontId="54" fillId="0" borderId="0" xfId="6" applyNumberFormat="1" applyFont="1"/>
    <xf numFmtId="0" fontId="17" fillId="0" borderId="43" xfId="1" applyFont="1" applyBorder="1" applyAlignment="1">
      <alignment horizontal="center"/>
    </xf>
    <xf numFmtId="0" fontId="17" fillId="0" borderId="55" xfId="1" applyFont="1" applyBorder="1" applyAlignment="1">
      <alignment horizontal="center"/>
    </xf>
    <xf numFmtId="0" fontId="30" fillId="0" borderId="44" xfId="1" applyFont="1" applyFill="1" applyBorder="1"/>
    <xf numFmtId="4" fontId="30" fillId="0" borderId="57" xfId="1" applyNumberFormat="1" applyFont="1" applyFill="1" applyBorder="1" applyAlignment="1">
      <alignment horizontal="right"/>
    </xf>
    <xf numFmtId="0" fontId="30" fillId="0" borderId="56" xfId="1" applyFont="1" applyFill="1" applyBorder="1"/>
    <xf numFmtId="4" fontId="30" fillId="0" borderId="56" xfId="1" applyNumberFormat="1" applyFont="1" applyFill="1" applyBorder="1" applyAlignment="1">
      <alignment horizontal="right"/>
    </xf>
    <xf numFmtId="4" fontId="21" fillId="0" borderId="0" xfId="1" applyNumberFormat="1" applyFont="1"/>
    <xf numFmtId="0" fontId="4" fillId="0" borderId="0" xfId="1" applyFont="1" applyBorder="1"/>
    <xf numFmtId="4" fontId="53" fillId="0" borderId="0" xfId="1" applyNumberFormat="1" applyFont="1" applyBorder="1"/>
    <xf numFmtId="0" fontId="30" fillId="0" borderId="0" xfId="1" applyFont="1" applyFill="1" applyBorder="1"/>
    <xf numFmtId="4" fontId="30" fillId="0" borderId="0" xfId="1" applyNumberFormat="1" applyFont="1" applyFill="1" applyBorder="1" applyAlignment="1">
      <alignment horizontal="right"/>
    </xf>
    <xf numFmtId="0" fontId="17" fillId="0" borderId="0" xfId="1" applyFont="1" applyBorder="1" applyAlignment="1">
      <alignment horizontal="center"/>
    </xf>
    <xf numFmtId="0" fontId="29" fillId="0" borderId="0" xfId="1" applyFont="1" applyFill="1" applyBorder="1"/>
    <xf numFmtId="4" fontId="29" fillId="0" borderId="0" xfId="1" applyNumberFormat="1" applyFont="1" applyFill="1" applyBorder="1" applyAlignment="1">
      <alignment horizontal="right"/>
    </xf>
    <xf numFmtId="0" fontId="17" fillId="0" borderId="0" xfId="1" applyFont="1" applyBorder="1"/>
    <xf numFmtId="4" fontId="17" fillId="0" borderId="5" xfId="1" applyNumberFormat="1" applyFont="1" applyBorder="1"/>
    <xf numFmtId="0" fontId="10" fillId="0" borderId="31" xfId="1" applyFont="1" applyFill="1" applyBorder="1" applyAlignment="1">
      <alignment horizontal="left" vertical="center" wrapText="1"/>
    </xf>
    <xf numFmtId="0" fontId="10" fillId="0" borderId="22" xfId="1" applyFont="1" applyFill="1" applyBorder="1" applyAlignment="1">
      <alignment horizontal="left" vertical="center" wrapText="1"/>
    </xf>
    <xf numFmtId="0" fontId="10" fillId="8" borderId="31" xfId="1" applyFont="1" applyFill="1" applyBorder="1" applyAlignment="1">
      <alignment vertical="center" wrapText="1"/>
    </xf>
    <xf numFmtId="4" fontId="10" fillId="8" borderId="23" xfId="1" applyNumberFormat="1" applyFont="1" applyFill="1" applyBorder="1" applyAlignment="1">
      <alignment horizontal="right" vertical="center"/>
    </xf>
    <xf numFmtId="4" fontId="10" fillId="8" borderId="27" xfId="1" applyNumberFormat="1" applyFont="1" applyFill="1" applyBorder="1" applyAlignment="1">
      <alignment horizontal="right"/>
    </xf>
    <xf numFmtId="4" fontId="10" fillId="8" borderId="27" xfId="1" applyNumberFormat="1" applyFont="1" applyFill="1" applyBorder="1" applyAlignment="1">
      <alignment horizontal="right" vertical="center"/>
    </xf>
    <xf numFmtId="0" fontId="10" fillId="0" borderId="31" xfId="6" applyFont="1" applyFill="1" applyBorder="1" applyAlignment="1">
      <alignment horizontal="left" vertical="center" wrapText="1"/>
    </xf>
    <xf numFmtId="0" fontId="10" fillId="0" borderId="31" xfId="6" applyFont="1" applyFill="1" applyBorder="1" applyAlignment="1">
      <alignment vertical="center" wrapText="1"/>
    </xf>
    <xf numFmtId="0" fontId="16" fillId="0" borderId="15" xfId="6" applyFont="1" applyFill="1" applyBorder="1" applyAlignment="1">
      <alignment horizontal="left" vertical="center"/>
    </xf>
    <xf numFmtId="0" fontId="48" fillId="0" borderId="0" xfId="6" applyFont="1" applyAlignment="1">
      <alignment vertical="center"/>
    </xf>
    <xf numFmtId="0" fontId="16" fillId="0" borderId="26" xfId="6" applyFont="1" applyFill="1" applyBorder="1" applyAlignment="1">
      <alignment vertical="center"/>
    </xf>
    <xf numFmtId="4" fontId="56" fillId="8" borderId="0" xfId="6" applyNumberFormat="1" applyFont="1" applyFill="1"/>
    <xf numFmtId="164" fontId="10" fillId="8" borderId="28" xfId="6" applyNumberFormat="1" applyFont="1" applyFill="1" applyBorder="1" applyAlignment="1">
      <alignment vertical="center"/>
    </xf>
    <xf numFmtId="0" fontId="10" fillId="0" borderId="31" xfId="6" applyFont="1" applyFill="1" applyBorder="1" applyAlignment="1">
      <alignment vertical="center" wrapText="1"/>
    </xf>
    <xf numFmtId="4" fontId="10" fillId="0" borderId="32" xfId="6" applyNumberFormat="1" applyFont="1" applyFill="1" applyBorder="1" applyAlignment="1">
      <alignment horizontal="right"/>
    </xf>
    <xf numFmtId="0" fontId="10" fillId="0" borderId="34" xfId="6" applyFont="1" applyFill="1" applyBorder="1" applyAlignment="1">
      <alignment vertical="center" wrapText="1"/>
    </xf>
    <xf numFmtId="0" fontId="10" fillId="0" borderId="18" xfId="1" applyFont="1" applyFill="1" applyBorder="1" applyAlignment="1">
      <alignment wrapText="1"/>
    </xf>
    <xf numFmtId="0" fontId="2" fillId="0" borderId="0" xfId="1" applyFont="1" applyAlignment="1">
      <alignment horizontal="right"/>
    </xf>
    <xf numFmtId="4" fontId="10" fillId="0" borderId="38" xfId="1" applyNumberFormat="1" applyFont="1" applyFill="1" applyBorder="1" applyAlignment="1">
      <alignment horizontal="right"/>
    </xf>
    <xf numFmtId="0" fontId="10" fillId="0" borderId="31" xfId="1" applyFont="1" applyFill="1" applyBorder="1" applyAlignment="1">
      <alignment wrapText="1"/>
    </xf>
    <xf numFmtId="4" fontId="11" fillId="0" borderId="32" xfId="1" applyNumberFormat="1" applyFont="1" applyFill="1" applyBorder="1" applyAlignment="1">
      <alignment horizontal="right" vertical="center"/>
    </xf>
    <xf numFmtId="4" fontId="10" fillId="8" borderId="32" xfId="1" applyNumberFormat="1" applyFont="1" applyFill="1" applyBorder="1" applyAlignment="1">
      <alignment horizontal="right"/>
    </xf>
    <xf numFmtId="4" fontId="10" fillId="8" borderId="32" xfId="1" applyNumberFormat="1" applyFont="1" applyFill="1" applyBorder="1" applyAlignment="1">
      <alignment horizontal="right" vertical="center"/>
    </xf>
    <xf numFmtId="0" fontId="10" fillId="0" borderId="31" xfId="6" applyFont="1" applyFill="1" applyBorder="1" applyAlignment="1">
      <alignment vertical="center" wrapText="1"/>
    </xf>
    <xf numFmtId="4" fontId="11" fillId="0" borderId="51" xfId="1" applyNumberFormat="1" applyFont="1" applyFill="1" applyBorder="1" applyAlignment="1">
      <alignment horizontal="right" vertical="center"/>
    </xf>
    <xf numFmtId="0" fontId="10" fillId="0" borderId="18" xfId="1" applyFont="1" applyFill="1" applyBorder="1"/>
    <xf numFmtId="4" fontId="10" fillId="0" borderId="52" xfId="1" applyNumberFormat="1" applyFont="1" applyFill="1" applyBorder="1"/>
    <xf numFmtId="4" fontId="10" fillId="0" borderId="9" xfId="1" applyNumberFormat="1" applyFont="1" applyFill="1" applyBorder="1" applyAlignment="1">
      <alignment horizontal="right"/>
    </xf>
    <xf numFmtId="4" fontId="10" fillId="8" borderId="27" xfId="1" applyNumberFormat="1" applyFont="1" applyFill="1" applyBorder="1"/>
    <xf numFmtId="0" fontId="10" fillId="8" borderId="26" xfId="6" applyFont="1" applyFill="1" applyBorder="1" applyAlignment="1">
      <alignment vertical="center" wrapText="1"/>
    </xf>
    <xf numFmtId="4" fontId="22" fillId="0" borderId="0" xfId="6" applyNumberFormat="1" applyFont="1" applyBorder="1"/>
    <xf numFmtId="0" fontId="10" fillId="8" borderId="31" xfId="1" applyFont="1" applyFill="1" applyBorder="1" applyAlignment="1">
      <alignment horizontal="left" vertical="center" wrapText="1"/>
    </xf>
    <xf numFmtId="0" fontId="10" fillId="0" borderId="31" xfId="6" applyFont="1" applyFill="1" applyBorder="1" applyAlignment="1">
      <alignment vertical="center" wrapText="1"/>
    </xf>
    <xf numFmtId="0" fontId="16" fillId="0" borderId="31" xfId="6" applyFont="1" applyFill="1" applyBorder="1" applyAlignment="1">
      <alignment horizontal="left" vertical="center" wrapText="1"/>
    </xf>
    <xf numFmtId="0" fontId="16" fillId="0" borderId="18" xfId="6" applyFont="1" applyFill="1" applyBorder="1" applyAlignment="1">
      <alignment horizontal="left" vertical="center" wrapText="1"/>
    </xf>
    <xf numFmtId="0" fontId="16" fillId="0" borderId="22" xfId="6" applyFont="1" applyFill="1" applyBorder="1" applyAlignment="1">
      <alignment vertical="center"/>
    </xf>
    <xf numFmtId="4" fontId="3" fillId="0" borderId="0" xfId="1" applyNumberFormat="1" applyFont="1"/>
    <xf numFmtId="4" fontId="10" fillId="0" borderId="32" xfId="1" applyNumberFormat="1" applyFont="1" applyFill="1" applyBorder="1" applyAlignment="1">
      <alignment horizontal="right" vertical="center"/>
    </xf>
    <xf numFmtId="4" fontId="10" fillId="0" borderId="13" xfId="1" applyNumberFormat="1" applyFont="1" applyFill="1" applyBorder="1" applyAlignment="1">
      <alignment vertical="center"/>
    </xf>
    <xf numFmtId="4" fontId="9" fillId="0" borderId="32" xfId="1" applyNumberFormat="1" applyFont="1" applyFill="1" applyBorder="1" applyAlignment="1">
      <alignment horizontal="right" vertical="center"/>
    </xf>
    <xf numFmtId="4" fontId="10" fillId="0" borderId="9" xfId="6" applyNumberFormat="1" applyFont="1" applyFill="1" applyBorder="1" applyAlignment="1">
      <alignment horizontal="right" vertical="center"/>
    </xf>
    <xf numFmtId="164" fontId="10" fillId="0" borderId="6" xfId="6" applyNumberFormat="1" applyFont="1" applyFill="1" applyBorder="1" applyAlignment="1">
      <alignment vertical="center"/>
    </xf>
    <xf numFmtId="4" fontId="30" fillId="0" borderId="0" xfId="1" applyNumberFormat="1" applyFont="1"/>
    <xf numFmtId="4" fontId="10" fillId="0" borderId="9" xfId="6" applyNumberFormat="1" applyFont="1" applyFill="1" applyBorder="1" applyAlignment="1">
      <alignment vertical="center"/>
    </xf>
    <xf numFmtId="4" fontId="10" fillId="0" borderId="9" xfId="6" applyNumberFormat="1" applyFont="1" applyFill="1" applyBorder="1"/>
    <xf numFmtId="164" fontId="10" fillId="8" borderId="6" xfId="6" applyNumberFormat="1" applyFont="1" applyFill="1" applyBorder="1" applyAlignment="1">
      <alignment vertical="center"/>
    </xf>
    <xf numFmtId="4" fontId="10" fillId="0" borderId="23" xfId="6" applyNumberFormat="1" applyFont="1" applyFill="1" applyBorder="1"/>
    <xf numFmtId="0" fontId="10" fillId="0" borderId="26" xfId="6" applyFont="1" applyFill="1" applyBorder="1" applyAlignment="1">
      <alignment vertical="center" wrapText="1"/>
    </xf>
    <xf numFmtId="4" fontId="56" fillId="2" borderId="0" xfId="6" applyNumberFormat="1" applyFont="1" applyFill="1"/>
    <xf numFmtId="4" fontId="10" fillId="0" borderId="30" xfId="1" applyNumberFormat="1" applyFont="1" applyFill="1" applyBorder="1" applyAlignment="1">
      <alignment vertical="center"/>
    </xf>
    <xf numFmtId="0" fontId="17" fillId="0" borderId="17" xfId="1" applyFont="1" applyBorder="1" applyAlignment="1">
      <alignment horizontal="left"/>
    </xf>
    <xf numFmtId="4" fontId="17" fillId="0" borderId="10" xfId="1" applyNumberFormat="1" applyFont="1" applyBorder="1"/>
    <xf numFmtId="4" fontId="17" fillId="0" borderId="11" xfId="1" applyNumberFormat="1" applyFont="1" applyBorder="1"/>
    <xf numFmtId="0" fontId="17" fillId="0" borderId="18" xfId="1" applyFont="1" applyBorder="1"/>
    <xf numFmtId="4" fontId="17" fillId="0" borderId="9" xfId="1" applyNumberFormat="1" applyFont="1" applyBorder="1"/>
    <xf numFmtId="4" fontId="17" fillId="0" borderId="6" xfId="1" applyNumberFormat="1" applyFont="1" applyBorder="1"/>
    <xf numFmtId="0" fontId="52" fillId="0" borderId="0" xfId="1" applyFont="1" applyBorder="1" applyAlignment="1">
      <alignment horizontal="left" wrapText="1"/>
    </xf>
    <xf numFmtId="0" fontId="17" fillId="0" borderId="45" xfId="1" applyFont="1" applyBorder="1" applyAlignment="1">
      <alignment horizontal="center"/>
    </xf>
    <xf numFmtId="0" fontId="17" fillId="0" borderId="46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0" fillId="8" borderId="15" xfId="1" applyFont="1" applyFill="1" applyBorder="1" applyAlignment="1">
      <alignment horizontal="left" vertical="center"/>
    </xf>
    <xf numFmtId="0" fontId="10" fillId="8" borderId="18" xfId="1" applyFont="1" applyFill="1" applyBorder="1" applyAlignment="1">
      <alignment horizontal="left" vertical="center"/>
    </xf>
    <xf numFmtId="0" fontId="16" fillId="0" borderId="15" xfId="6" applyFont="1" applyFill="1" applyBorder="1" applyAlignment="1">
      <alignment vertical="center"/>
    </xf>
    <xf numFmtId="0" fontId="16" fillId="0" borderId="34" xfId="6" applyFont="1" applyFill="1" applyBorder="1" applyAlignment="1">
      <alignment vertical="center"/>
    </xf>
    <xf numFmtId="0" fontId="10" fillId="0" borderId="31" xfId="6" applyFont="1" applyFill="1" applyBorder="1" applyAlignment="1">
      <alignment vertical="center" wrapText="1"/>
    </xf>
    <xf numFmtId="0" fontId="10" fillId="0" borderId="18" xfId="6" applyFont="1" applyFill="1" applyBorder="1" applyAlignment="1">
      <alignment vertical="center" wrapText="1"/>
    </xf>
    <xf numFmtId="0" fontId="10" fillId="0" borderId="34" xfId="6" applyFont="1" applyFill="1" applyBorder="1" applyAlignment="1">
      <alignment horizontal="left" vertical="center" wrapText="1"/>
    </xf>
    <xf numFmtId="0" fontId="10" fillId="0" borderId="15" xfId="6" applyFont="1" applyFill="1" applyBorder="1" applyAlignment="1">
      <alignment horizontal="left" vertical="center" wrapText="1"/>
    </xf>
    <xf numFmtId="0" fontId="10" fillId="0" borderId="26" xfId="6" applyFont="1" applyFill="1" applyBorder="1" applyAlignment="1">
      <alignment horizontal="left" vertical="center" wrapText="1"/>
    </xf>
    <xf numFmtId="0" fontId="10" fillId="0" borderId="34" xfId="6" applyFont="1" applyFill="1" applyBorder="1" applyAlignment="1">
      <alignment vertical="center" wrapText="1"/>
    </xf>
    <xf numFmtId="0" fontId="10" fillId="0" borderId="26" xfId="6" applyFont="1" applyFill="1" applyBorder="1" applyAlignment="1">
      <alignment vertical="center" wrapText="1"/>
    </xf>
    <xf numFmtId="0" fontId="16" fillId="0" borderId="34" xfId="6" applyFont="1" applyFill="1" applyBorder="1" applyAlignment="1">
      <alignment horizontal="left" vertical="center"/>
    </xf>
    <xf numFmtId="0" fontId="16" fillId="0" borderId="26" xfId="6" applyFont="1" applyFill="1" applyBorder="1" applyAlignment="1">
      <alignment horizontal="left" vertical="center"/>
    </xf>
    <xf numFmtId="0" fontId="10" fillId="0" borderId="53" xfId="6" applyFont="1" applyFill="1" applyBorder="1" applyAlignment="1">
      <alignment vertical="center"/>
    </xf>
    <xf numFmtId="0" fontId="10" fillId="0" borderId="54" xfId="6" applyFont="1" applyFill="1" applyBorder="1" applyAlignment="1">
      <alignment vertical="center"/>
    </xf>
    <xf numFmtId="0" fontId="10" fillId="8" borderId="22" xfId="6" applyFont="1" applyFill="1" applyBorder="1" applyAlignment="1">
      <alignment horizontal="left" vertical="center" wrapText="1"/>
    </xf>
    <xf numFmtId="0" fontId="10" fillId="8" borderId="15" xfId="6" applyFont="1" applyFill="1" applyBorder="1" applyAlignment="1">
      <alignment horizontal="left" vertical="center"/>
    </xf>
    <xf numFmtId="0" fontId="10" fillId="8" borderId="18" xfId="6" applyFont="1" applyFill="1" applyBorder="1" applyAlignment="1">
      <alignment horizontal="left" vertical="center"/>
    </xf>
    <xf numFmtId="0" fontId="10" fillId="8" borderId="31" xfId="6" applyFont="1" applyFill="1" applyBorder="1" applyAlignment="1">
      <alignment vertical="center" wrapText="1"/>
    </xf>
    <xf numFmtId="0" fontId="10" fillId="8" borderId="15" xfId="6" applyFont="1" applyFill="1" applyBorder="1" applyAlignment="1">
      <alignment vertical="center" wrapText="1"/>
    </xf>
    <xf numFmtId="0" fontId="10" fillId="8" borderId="31" xfId="6" applyFont="1" applyFill="1" applyBorder="1" applyAlignment="1">
      <alignment horizontal="left" vertical="center" wrapText="1"/>
    </xf>
    <xf numFmtId="0" fontId="10" fillId="8" borderId="15" xfId="6" applyFont="1" applyFill="1" applyBorder="1" applyAlignment="1">
      <alignment horizontal="left" vertical="center" wrapText="1"/>
    </xf>
    <xf numFmtId="0" fontId="10" fillId="8" borderId="34" xfId="6" applyFont="1" applyFill="1" applyBorder="1" applyAlignment="1">
      <alignment horizontal="left" vertical="center" wrapText="1"/>
    </xf>
    <xf numFmtId="0" fontId="10" fillId="8" borderId="22" xfId="6" applyFont="1" applyFill="1" applyBorder="1" applyAlignment="1">
      <alignment vertical="center" wrapText="1"/>
    </xf>
    <xf numFmtId="0" fontId="10" fillId="8" borderId="34" xfId="6" applyFont="1" applyFill="1" applyBorder="1" applyAlignment="1">
      <alignment vertical="center" wrapText="1"/>
    </xf>
    <xf numFmtId="0" fontId="10" fillId="0" borderId="31" xfId="6" applyFont="1" applyFill="1" applyBorder="1" applyAlignment="1">
      <alignment horizontal="left" vertical="center" wrapText="1"/>
    </xf>
    <xf numFmtId="0" fontId="10" fillId="0" borderId="15" xfId="6" applyFont="1" applyFill="1" applyBorder="1" applyAlignment="1">
      <alignment horizontal="left" vertical="center"/>
    </xf>
    <xf numFmtId="0" fontId="10" fillId="0" borderId="18" xfId="6" applyFont="1" applyFill="1" applyBorder="1" applyAlignment="1">
      <alignment horizontal="left" vertical="center"/>
    </xf>
    <xf numFmtId="0" fontId="2" fillId="0" borderId="31" xfId="6" applyBorder="1" applyAlignment="1">
      <alignment vertical="center" wrapText="1"/>
    </xf>
    <xf numFmtId="0" fontId="2" fillId="0" borderId="34" xfId="6" applyBorder="1" applyAlignment="1">
      <alignment vertical="center" wrapText="1"/>
    </xf>
    <xf numFmtId="0" fontId="2" fillId="0" borderId="31" xfId="6" applyFont="1" applyBorder="1" applyAlignment="1">
      <alignment vertical="center" wrapText="1"/>
    </xf>
    <xf numFmtId="0" fontId="2" fillId="0" borderId="34" xfId="6" applyFont="1" applyBorder="1" applyAlignment="1">
      <alignment vertical="center" wrapText="1"/>
    </xf>
    <xf numFmtId="0" fontId="10" fillId="0" borderId="31" xfId="1" applyFont="1" applyFill="1" applyBorder="1" applyAlignment="1">
      <alignment horizontal="left" vertical="center"/>
    </xf>
    <xf numFmtId="0" fontId="10" fillId="0" borderId="18" xfId="1" applyFont="1" applyFill="1" applyBorder="1" applyAlignment="1">
      <alignment horizontal="left" vertical="center"/>
    </xf>
  </cellXfs>
  <cellStyles count="9">
    <cellStyle name="Normální" xfId="0" builtinId="0"/>
    <cellStyle name="Normální 2" xfId="1"/>
    <cellStyle name="normální 2 2" xfId="4"/>
    <cellStyle name="Normální 2 3" xfId="6"/>
    <cellStyle name="Normální 6" xfId="5"/>
    <cellStyle name="normální_Investice 2005-sociální, zdravotní, kutura 2" xfId="2"/>
    <cellStyle name="normální_Investice 2005-sociální, zdravotní, kutura 2 2" xfId="8"/>
    <cellStyle name="normální_Sociální - investice a opravy 2009 - sumarizace vč. prior - 10-12-2008" xfId="3"/>
    <cellStyle name="normální_Sociální - investice a opravy 2009 - sumarizace vč. prior - 10-12-2008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P76"/>
  <sheetViews>
    <sheetView showGridLines="0" tabSelected="1" view="pageBreakPreview" zoomScaleNormal="100" zoomScaleSheetLayoutView="100" workbookViewId="0">
      <selection activeCell="A2" sqref="A2"/>
    </sheetView>
  </sheetViews>
  <sheetFormatPr defaultColWidth="9.140625" defaultRowHeight="12.75" x14ac:dyDescent="0.2"/>
  <cols>
    <col min="1" max="1" width="36.140625" style="5" customWidth="1"/>
    <col min="2" max="2" width="19" style="5" customWidth="1"/>
    <col min="3" max="3" width="20.140625" style="5" customWidth="1"/>
    <col min="4" max="4" width="19.42578125" style="5" customWidth="1"/>
    <col min="5" max="5" width="3.28515625" style="5" customWidth="1"/>
    <col min="6" max="6" width="22.5703125" style="5" hidden="1" customWidth="1"/>
    <col min="7" max="7" width="13.5703125" style="5" hidden="1" customWidth="1"/>
    <col min="8" max="8" width="16.28515625" style="5" hidden="1" customWidth="1"/>
    <col min="9" max="9" width="18.85546875" style="5" hidden="1" customWidth="1"/>
    <col min="10" max="10" width="17.85546875" style="5" hidden="1" customWidth="1"/>
    <col min="11" max="11" width="19.42578125" style="5" hidden="1" customWidth="1"/>
    <col min="12" max="12" width="5" style="5" customWidth="1"/>
    <col min="13" max="13" width="3.85546875" style="5" customWidth="1"/>
    <col min="14" max="14" width="17.28515625" style="5" bestFit="1" customWidth="1"/>
    <col min="15" max="15" width="17.42578125" style="5" customWidth="1"/>
    <col min="16" max="16" width="18.140625" style="5" customWidth="1"/>
    <col min="17" max="16384" width="9.140625" style="5"/>
  </cols>
  <sheetData>
    <row r="1" spans="1:9" ht="18" x14ac:dyDescent="0.25">
      <c r="A1" s="6" t="s">
        <v>500</v>
      </c>
      <c r="B1" s="7"/>
      <c r="C1" s="7"/>
      <c r="D1" s="7"/>
    </row>
    <row r="2" spans="1:9" ht="18.75" thickBot="1" x14ac:dyDescent="0.3">
      <c r="A2" s="8"/>
      <c r="B2" s="9"/>
      <c r="C2" s="9"/>
      <c r="D2" s="10" t="s">
        <v>18</v>
      </c>
    </row>
    <row r="3" spans="1:9" ht="14.25" thickTop="1" thickBot="1" x14ac:dyDescent="0.25">
      <c r="A3" s="11"/>
      <c r="B3" s="12" t="s">
        <v>0</v>
      </c>
      <c r="C3" s="13" t="s">
        <v>1</v>
      </c>
      <c r="D3" s="14" t="s">
        <v>4</v>
      </c>
    </row>
    <row r="4" spans="1:9" ht="16.5" thickTop="1" x14ac:dyDescent="0.25">
      <c r="A4" s="15" t="s">
        <v>7</v>
      </c>
      <c r="B4" s="159">
        <f>SUM(B5:B6)</f>
        <v>206207000</v>
      </c>
      <c r="C4" s="159">
        <f>SUM(C5:C6)</f>
        <v>342964505.07999998</v>
      </c>
      <c r="D4" s="160">
        <f>SUM(D5:D6)</f>
        <v>317825568.63</v>
      </c>
    </row>
    <row r="5" spans="1:9" x14ac:dyDescent="0.2">
      <c r="A5" s="156" t="s">
        <v>25</v>
      </c>
      <c r="B5" s="137">
        <f>'8a) OK 2020'!B373</f>
        <v>135941000</v>
      </c>
      <c r="C5" s="137">
        <f>'8a) OK 2020'!C373</f>
        <v>239944634.62</v>
      </c>
      <c r="D5" s="157">
        <f>'8a) OK 2020'!D373</f>
        <v>226308477.10000002</v>
      </c>
    </row>
    <row r="6" spans="1:9" x14ac:dyDescent="0.2">
      <c r="A6" s="156" t="s">
        <v>161</v>
      </c>
      <c r="B6" s="137">
        <f>'8b) Projekty spolufinancované'!B204</f>
        <v>70266000</v>
      </c>
      <c r="C6" s="137">
        <f>'8b) Projekty spolufinancované'!C204</f>
        <v>103019870.45999999</v>
      </c>
      <c r="D6" s="157">
        <f>'8b) Projekty spolufinancované'!D204</f>
        <v>91517091.529999986</v>
      </c>
    </row>
    <row r="7" spans="1:9" ht="15.75" x14ac:dyDescent="0.25">
      <c r="A7" s="158" t="s">
        <v>9</v>
      </c>
      <c r="B7" s="159">
        <f>SUM(B8:B9)</f>
        <v>262964000</v>
      </c>
      <c r="C7" s="159">
        <f>SUM(C8:C9)</f>
        <v>218362703.88999999</v>
      </c>
      <c r="D7" s="160">
        <f>SUM(D8:D9)</f>
        <v>184710057.31</v>
      </c>
    </row>
    <row r="8" spans="1:9" x14ac:dyDescent="0.2">
      <c r="A8" s="156" t="s">
        <v>25</v>
      </c>
      <c r="B8" s="137">
        <f>'8a) OK 2020'!B374</f>
        <v>209009000</v>
      </c>
      <c r="C8" s="137">
        <f>'8a) OK 2020'!C374</f>
        <v>138156029.84999999</v>
      </c>
      <c r="D8" s="157">
        <f>'8a) OK 2020'!D374</f>
        <v>124366526.23</v>
      </c>
      <c r="G8" s="16"/>
      <c r="H8" s="17"/>
      <c r="I8" s="18"/>
    </row>
    <row r="9" spans="1:9" x14ac:dyDescent="0.2">
      <c r="A9" s="156" t="s">
        <v>161</v>
      </c>
      <c r="B9" s="137">
        <f>'8b) Projekty spolufinancované'!B205</f>
        <v>53955000</v>
      </c>
      <c r="C9" s="137">
        <f>'8b) Projekty spolufinancované'!C205</f>
        <v>80206674.040000007</v>
      </c>
      <c r="D9" s="157">
        <f>'8b) Projekty spolufinancované'!D205</f>
        <v>60343531.079999998</v>
      </c>
      <c r="G9" s="16"/>
      <c r="H9" s="17"/>
      <c r="I9" s="18"/>
    </row>
    <row r="10" spans="1:9" ht="15.75" x14ac:dyDescent="0.25">
      <c r="A10" s="158" t="s">
        <v>8</v>
      </c>
      <c r="B10" s="159">
        <f>SUM(B11:B12)</f>
        <v>78396000</v>
      </c>
      <c r="C10" s="159">
        <f>SUM(C11:C12)</f>
        <v>107728285.50999999</v>
      </c>
      <c r="D10" s="160">
        <f>SUM(D11:D12)</f>
        <v>101075684.56999999</v>
      </c>
    </row>
    <row r="11" spans="1:9" x14ac:dyDescent="0.2">
      <c r="A11" s="156" t="s">
        <v>25</v>
      </c>
      <c r="B11" s="137">
        <f>'8a) OK 2020'!B375</f>
        <v>58706000</v>
      </c>
      <c r="C11" s="137">
        <f>'8a) OK 2020'!C375</f>
        <v>53490926.920000002</v>
      </c>
      <c r="D11" s="157">
        <f>'8a) OK 2020'!D375</f>
        <v>47344509.600000001</v>
      </c>
    </row>
    <row r="12" spans="1:9" x14ac:dyDescent="0.2">
      <c r="A12" s="156" t="s">
        <v>161</v>
      </c>
      <c r="B12" s="137">
        <f>'8b) Projekty spolufinancované'!B206</f>
        <v>19690000</v>
      </c>
      <c r="C12" s="137">
        <f>'8b) Projekty spolufinancované'!C206</f>
        <v>54237358.589999996</v>
      </c>
      <c r="D12" s="157">
        <f>'8b) Projekty spolufinancované'!D206</f>
        <v>53731174.969999999</v>
      </c>
    </row>
    <row r="13" spans="1:9" ht="15.75" x14ac:dyDescent="0.25">
      <c r="A13" s="158" t="s">
        <v>11</v>
      </c>
      <c r="B13" s="159">
        <f>SUM(B14:B15)</f>
        <v>382313000</v>
      </c>
      <c r="C13" s="159">
        <f>SUM(C14:C15)</f>
        <v>1247728251.8600001</v>
      </c>
      <c r="D13" s="160">
        <f>SUM(D14:D15)</f>
        <v>1178145734.1500001</v>
      </c>
    </row>
    <row r="14" spans="1:9" x14ac:dyDescent="0.2">
      <c r="A14" s="156" t="s">
        <v>25</v>
      </c>
      <c r="B14" s="137">
        <f>'8a) OK 2020'!B376</f>
        <v>176620000</v>
      </c>
      <c r="C14" s="137">
        <f>'8a) OK 2020'!C376</f>
        <v>169274393.92000002</v>
      </c>
      <c r="D14" s="157">
        <f>'8a) OK 2020'!D376</f>
        <v>155411084.78</v>
      </c>
    </row>
    <row r="15" spans="1:9" x14ac:dyDescent="0.2">
      <c r="A15" s="156" t="s">
        <v>161</v>
      </c>
      <c r="B15" s="137">
        <f>'8b) Projekty spolufinancované'!B207</f>
        <v>205693000</v>
      </c>
      <c r="C15" s="137">
        <f>'8b) Projekty spolufinancované'!C207</f>
        <v>1078453857.9400001</v>
      </c>
      <c r="D15" s="157">
        <f>'8b) Projekty spolufinancované'!D207</f>
        <v>1022734649.3700001</v>
      </c>
    </row>
    <row r="16" spans="1:9" ht="15.75" x14ac:dyDescent="0.25">
      <c r="A16" s="158" t="s">
        <v>10</v>
      </c>
      <c r="B16" s="159">
        <f>SUM(B17:B19)</f>
        <v>193143000</v>
      </c>
      <c r="C16" s="159">
        <f>SUM(C17:C19)</f>
        <v>208652900.85999998</v>
      </c>
      <c r="D16" s="160">
        <f>SUM(D17:D19)</f>
        <v>202488923.65000001</v>
      </c>
    </row>
    <row r="17" spans="1:4" x14ac:dyDescent="0.2">
      <c r="A17" s="156" t="s">
        <v>25</v>
      </c>
      <c r="B17" s="137">
        <f>'8a) OK 2020'!B377</f>
        <v>147836000</v>
      </c>
      <c r="C17" s="137">
        <f>'8a) OK 2020'!C377</f>
        <v>158846600.09999999</v>
      </c>
      <c r="D17" s="157">
        <f>'8a) OK 2020'!D377</f>
        <v>156514253.17000002</v>
      </c>
    </row>
    <row r="18" spans="1:4" x14ac:dyDescent="0.2">
      <c r="A18" s="156" t="s">
        <v>161</v>
      </c>
      <c r="B18" s="137">
        <f>'8b) Projekty spolufinancované'!B208</f>
        <v>5654000</v>
      </c>
      <c r="C18" s="137">
        <f>'8b) Projekty spolufinancované'!C208</f>
        <v>4667261.3199999994</v>
      </c>
      <c r="D18" s="157">
        <f>'8b) Projekty spolufinancované'!D208</f>
        <v>4329912.7299999995</v>
      </c>
    </row>
    <row r="19" spans="1:4" x14ac:dyDescent="0.2">
      <c r="A19" s="156" t="s">
        <v>136</v>
      </c>
      <c r="B19" s="137">
        <f>'8c) SMN'!B20</f>
        <v>39653000</v>
      </c>
      <c r="C19" s="137">
        <f>'8c) SMN'!C20</f>
        <v>45139039.440000005</v>
      </c>
      <c r="D19" s="157">
        <f>'8c) SMN'!D20</f>
        <v>41644757.750000007</v>
      </c>
    </row>
    <row r="20" spans="1:4" ht="15.75" x14ac:dyDescent="0.25">
      <c r="A20" s="158" t="s">
        <v>65</v>
      </c>
      <c r="B20" s="159">
        <f>SUM(B21)</f>
        <v>3775000</v>
      </c>
      <c r="C20" s="159">
        <f t="shared" ref="C20:D20" si="0">SUM(C21)</f>
        <v>2542292.7999999998</v>
      </c>
      <c r="D20" s="160">
        <f t="shared" si="0"/>
        <v>2461139.8199999998</v>
      </c>
    </row>
    <row r="21" spans="1:4" x14ac:dyDescent="0.2">
      <c r="A21" s="156" t="s">
        <v>161</v>
      </c>
      <c r="B21" s="137">
        <f>'8b) Projekty spolufinancované'!B209</f>
        <v>3775000</v>
      </c>
      <c r="C21" s="137">
        <f>'8b) Projekty spolufinancované'!C209</f>
        <v>2542292.7999999998</v>
      </c>
      <c r="D21" s="157">
        <f>'8b) Projekty spolufinancované'!D209</f>
        <v>2461139.8199999998</v>
      </c>
    </row>
    <row r="22" spans="1:4" ht="15.75" x14ac:dyDescent="0.25">
      <c r="A22" s="158" t="s">
        <v>51</v>
      </c>
      <c r="B22" s="159">
        <f>SUM(B23:B23)</f>
        <v>1650000</v>
      </c>
      <c r="C22" s="159">
        <f>SUM(C23:C23)</f>
        <v>0</v>
      </c>
      <c r="D22" s="160">
        <f>SUM(D23:D23)</f>
        <v>0</v>
      </c>
    </row>
    <row r="23" spans="1:4" x14ac:dyDescent="0.2">
      <c r="A23" s="156" t="s">
        <v>25</v>
      </c>
      <c r="B23" s="137">
        <f>'8a) OK 2020'!B355</f>
        <v>1650000</v>
      </c>
      <c r="C23" s="137">
        <f>'8a) OK 2020'!C355</f>
        <v>0</v>
      </c>
      <c r="D23" s="157">
        <f>'8a) OK 2020'!D355</f>
        <v>0</v>
      </c>
    </row>
    <row r="24" spans="1:4" ht="15.75" customHeight="1" x14ac:dyDescent="0.25">
      <c r="A24" s="161" t="s">
        <v>33</v>
      </c>
      <c r="B24" s="162">
        <f>SUM(B25:B25)</f>
        <v>274000</v>
      </c>
      <c r="C24" s="162">
        <f>SUM(C25:C25)</f>
        <v>1666170</v>
      </c>
      <c r="D24" s="182">
        <f>SUM(D25:D25)</f>
        <v>1666170</v>
      </c>
    </row>
    <row r="25" spans="1:4" x14ac:dyDescent="0.2">
      <c r="A25" s="156" t="s">
        <v>161</v>
      </c>
      <c r="B25" s="137">
        <f>'8b) Projekty spolufinancované'!B210</f>
        <v>274000</v>
      </c>
      <c r="C25" s="137">
        <f>'8b) Projekty spolufinancované'!C210</f>
        <v>1666170</v>
      </c>
      <c r="D25" s="157">
        <f>'8b) Projekty spolufinancované'!D210</f>
        <v>1666170</v>
      </c>
    </row>
    <row r="26" spans="1:4" ht="18" customHeight="1" x14ac:dyDescent="0.25">
      <c r="A26" s="161" t="s">
        <v>291</v>
      </c>
      <c r="B26" s="162">
        <f>SUM(B27:B27)</f>
        <v>10164000</v>
      </c>
      <c r="C26" s="162">
        <f>SUM(C27:C27)</f>
        <v>13361566.449999999</v>
      </c>
      <c r="D26" s="182">
        <f>SUM(D27:D27)</f>
        <v>13310902.02</v>
      </c>
    </row>
    <row r="27" spans="1:4" x14ac:dyDescent="0.2">
      <c r="A27" s="156" t="s">
        <v>161</v>
      </c>
      <c r="B27" s="137">
        <f>'8b) Projekty spolufinancované'!B190</f>
        <v>10164000</v>
      </c>
      <c r="C27" s="137">
        <f>'8b) Projekty spolufinancované'!C190</f>
        <v>13361566.449999999</v>
      </c>
      <c r="D27" s="157">
        <f>'8b) Projekty spolufinancované'!D190</f>
        <v>13310902.02</v>
      </c>
    </row>
    <row r="28" spans="1:4" ht="15.75" x14ac:dyDescent="0.25">
      <c r="A28" s="161" t="s">
        <v>475</v>
      </c>
      <c r="B28" s="162">
        <f>SUM(B29:B29)</f>
        <v>0</v>
      </c>
      <c r="C28" s="162">
        <f>SUM(C29:C29)</f>
        <v>1200000</v>
      </c>
      <c r="D28" s="182">
        <f>SUM(D29:D29)</f>
        <v>359370</v>
      </c>
    </row>
    <row r="29" spans="1:4" x14ac:dyDescent="0.2">
      <c r="A29" s="156" t="s">
        <v>161</v>
      </c>
      <c r="B29" s="137">
        <f>'8b) Projekty spolufinancované'!B200</f>
        <v>0</v>
      </c>
      <c r="C29" s="137">
        <f>'8b) Projekty spolufinancované'!C200</f>
        <v>1200000</v>
      </c>
      <c r="D29" s="157">
        <f>'8b) Projekty spolufinancované'!D200</f>
        <v>359370</v>
      </c>
    </row>
    <row r="30" spans="1:4" ht="15.75" x14ac:dyDescent="0.25">
      <c r="A30" s="158" t="s">
        <v>26</v>
      </c>
      <c r="B30" s="159">
        <f>SUM(B31:B31)</f>
        <v>22000000</v>
      </c>
      <c r="C30" s="159">
        <f>SUM(C31:C31)</f>
        <v>33234000</v>
      </c>
      <c r="D30" s="160">
        <f>SUM(D31:D31)</f>
        <v>32313651.059999999</v>
      </c>
    </row>
    <row r="31" spans="1:4" ht="13.5" thickBot="1" x14ac:dyDescent="0.25">
      <c r="A31" s="156" t="s">
        <v>25</v>
      </c>
      <c r="B31" s="137">
        <f>'8a) OK 2020'!B369</f>
        <v>22000000</v>
      </c>
      <c r="C31" s="137">
        <f>'8a) OK 2020'!C369</f>
        <v>33234000</v>
      </c>
      <c r="D31" s="157">
        <f>'8a) OK 2020'!D369</f>
        <v>32313651.059999999</v>
      </c>
    </row>
    <row r="32" spans="1:4" ht="17.25" thickTop="1" thickBot="1" x14ac:dyDescent="0.3">
      <c r="A32" s="19" t="s">
        <v>27</v>
      </c>
      <c r="B32" s="20">
        <f>SUM(B4,B7,B13,B10,B16,B22,B24,B30,B20,B26,B28)</f>
        <v>1160886000</v>
      </c>
      <c r="C32" s="20">
        <f t="shared" ref="C32:D32" si="1">SUM(C4,C7,C13,C10,C16,C22,C24,C30,C20,C26,C28)</f>
        <v>2177440676.4499998</v>
      </c>
      <c r="D32" s="471">
        <f t="shared" si="1"/>
        <v>2034357201.21</v>
      </c>
    </row>
    <row r="33" spans="1:16" ht="16.5" thickTop="1" x14ac:dyDescent="0.25">
      <c r="A33" s="515"/>
      <c r="B33" s="21"/>
      <c r="C33" s="21"/>
      <c r="D33" s="21"/>
    </row>
    <row r="34" spans="1:16" ht="15.75" x14ac:dyDescent="0.25">
      <c r="A34" s="515"/>
      <c r="B34" s="21"/>
      <c r="C34" s="21"/>
      <c r="D34" s="21"/>
    </row>
    <row r="35" spans="1:16" ht="15.75" x14ac:dyDescent="0.25">
      <c r="A35" s="23" t="s">
        <v>163</v>
      </c>
      <c r="B35" s="21"/>
      <c r="C35" s="21"/>
      <c r="D35" s="21"/>
    </row>
    <row r="36" spans="1:16" ht="16.5" thickBot="1" x14ac:dyDescent="0.3">
      <c r="A36" s="23"/>
      <c r="B36" s="21"/>
      <c r="C36" s="21"/>
      <c r="D36" s="10" t="s">
        <v>18</v>
      </c>
    </row>
    <row r="37" spans="1:16" ht="15.75" thickTop="1" thickBot="1" x14ac:dyDescent="0.25">
      <c r="A37" s="11"/>
      <c r="B37" s="12" t="s">
        <v>0</v>
      </c>
      <c r="C37" s="13" t="s">
        <v>1</v>
      </c>
      <c r="D37" s="14" t="s">
        <v>4</v>
      </c>
      <c r="F37" s="619" t="s">
        <v>276</v>
      </c>
      <c r="G37" s="620"/>
    </row>
    <row r="38" spans="1:16" ht="15.75" thickTop="1" thickBot="1" x14ac:dyDescent="0.25">
      <c r="A38" s="24" t="s">
        <v>164</v>
      </c>
      <c r="B38" s="25">
        <f>B31+B17+B14+B11+B8+B5+B23</f>
        <v>751762000</v>
      </c>
      <c r="C38" s="25">
        <f t="shared" ref="C38:D38" si="2">C31+C17+C14+C11+C8+C5+C23</f>
        <v>792946585.40999997</v>
      </c>
      <c r="D38" s="561">
        <f t="shared" si="2"/>
        <v>742258501.94000006</v>
      </c>
      <c r="F38" s="546"/>
      <c r="G38" s="547"/>
    </row>
    <row r="39" spans="1:16" ht="15" thickTop="1" x14ac:dyDescent="0.2">
      <c r="A39" s="163" t="s">
        <v>165</v>
      </c>
      <c r="B39" s="164">
        <f>B27+B25+B21+B18+B15+B12+B9+B6+B29</f>
        <v>369471000</v>
      </c>
      <c r="C39" s="164">
        <f t="shared" ref="C39:D39" si="3">C27+C25+C21+C18+C15+C12+C9+C6+C29</f>
        <v>1339355051.5999999</v>
      </c>
      <c r="D39" s="470">
        <f t="shared" si="3"/>
        <v>1250453941.52</v>
      </c>
      <c r="F39" s="463" t="s">
        <v>155</v>
      </c>
      <c r="G39" s="466">
        <f>C51-D51</f>
        <v>0</v>
      </c>
    </row>
    <row r="40" spans="1:16" s="22" customFormat="1" ht="15" thickBot="1" x14ac:dyDescent="0.25">
      <c r="A40" s="163" t="s">
        <v>166</v>
      </c>
      <c r="B40" s="164">
        <f>B19</f>
        <v>39653000</v>
      </c>
      <c r="C40" s="164">
        <f>C19</f>
        <v>45139039.440000005</v>
      </c>
      <c r="D40" s="470">
        <f>D19</f>
        <v>41644757.750000007</v>
      </c>
      <c r="F40" s="462" t="s">
        <v>154</v>
      </c>
      <c r="G40" s="467">
        <v>-9117005.9499999993</v>
      </c>
    </row>
    <row r="41" spans="1:16" s="22" customFormat="1" ht="17.25" thickTop="1" thickBot="1" x14ac:dyDescent="0.3">
      <c r="A41" s="19" t="s">
        <v>27</v>
      </c>
      <c r="B41" s="20">
        <f>SUM(B38:B40)</f>
        <v>1160886000</v>
      </c>
      <c r="C41" s="20">
        <f t="shared" ref="C41:D41" si="4">SUM(C38:C40)</f>
        <v>2177440676.4499998</v>
      </c>
      <c r="D41" s="471">
        <f t="shared" si="4"/>
        <v>2034357201.21</v>
      </c>
      <c r="F41" s="464"/>
      <c r="G41" s="465">
        <f>SUM(G38:G40)</f>
        <v>-9117005.9499999993</v>
      </c>
    </row>
    <row r="42" spans="1:16" s="22" customFormat="1" ht="17.25" thickTop="1" thickBot="1" x14ac:dyDescent="0.3">
      <c r="A42" s="515"/>
      <c r="B42" s="21"/>
      <c r="C42" s="21"/>
      <c r="D42" s="21"/>
    </row>
    <row r="43" spans="1:16" s="22" customFormat="1" ht="16.5" thickBot="1" x14ac:dyDescent="0.3">
      <c r="A43" s="515"/>
      <c r="B43" s="21"/>
      <c r="C43" s="21"/>
      <c r="D43" s="21"/>
      <c r="F43" s="619" t="s">
        <v>274</v>
      </c>
      <c r="G43" s="620"/>
    </row>
    <row r="44" spans="1:16" s="22" customFormat="1" ht="17.25" thickTop="1" thickBot="1" x14ac:dyDescent="0.3">
      <c r="A44" s="23" t="s">
        <v>167</v>
      </c>
      <c r="B44" s="21"/>
      <c r="C44" s="21"/>
      <c r="D44" s="21"/>
      <c r="F44" s="546"/>
      <c r="G44" s="547"/>
    </row>
    <row r="45" spans="1:16" s="22" customFormat="1" ht="17.25" thickTop="1" thickBot="1" x14ac:dyDescent="0.3">
      <c r="A45" s="23"/>
      <c r="B45" s="21"/>
      <c r="C45" s="21"/>
      <c r="D45" s="10" t="s">
        <v>18</v>
      </c>
      <c r="F45" s="463" t="s">
        <v>155</v>
      </c>
      <c r="G45" s="466" t="e">
        <f>#REF!-#REF!</f>
        <v>#REF!</v>
      </c>
    </row>
    <row r="46" spans="1:16" s="22" customFormat="1" ht="14.25" thickTop="1" thickBot="1" x14ac:dyDescent="0.25">
      <c r="A46" s="11"/>
      <c r="B46" s="12" t="s">
        <v>0</v>
      </c>
      <c r="C46" s="13" t="s">
        <v>1</v>
      </c>
      <c r="D46" s="14" t="s">
        <v>4</v>
      </c>
      <c r="F46" s="462" t="s">
        <v>275</v>
      </c>
      <c r="G46" s="467">
        <v>0</v>
      </c>
    </row>
    <row r="47" spans="1:16" s="26" customFormat="1" ht="15.75" thickTop="1" thickBot="1" x14ac:dyDescent="0.25">
      <c r="A47" s="24" t="s">
        <v>168</v>
      </c>
      <c r="B47" s="25">
        <f>'8a) OK 2020'!J382+'8b) Projekty spolufinancované'!J218+'8c) SMN'!I17+'8c) SMN'!I18</f>
        <v>1160886000</v>
      </c>
      <c r="C47" s="25">
        <f>'8a) OK 2020'!K382+'8b) Projekty spolufinancované'!K218+'8c) SMN'!J17+'8c) SMN'!J18</f>
        <v>1237831510.1399999</v>
      </c>
      <c r="D47" s="561">
        <f>'8a) OK 2020'!L382+'8b) Projekty spolufinancované'!L218+'8c) SMN'!K17+'8c) SMN'!K18</f>
        <v>1095157049.6800001</v>
      </c>
      <c r="F47" s="464"/>
      <c r="G47" s="465" t="e">
        <f>SUM(G44:G46)</f>
        <v>#REF!</v>
      </c>
      <c r="N47" s="518"/>
      <c r="O47" s="518"/>
      <c r="P47" s="518"/>
    </row>
    <row r="48" spans="1:16" s="26" customFormat="1" ht="14.25" x14ac:dyDescent="0.2">
      <c r="A48" s="163" t="s">
        <v>169</v>
      </c>
      <c r="B48" s="164">
        <f>'8b) Projekty spolufinancované'!J219-B49</f>
        <v>0</v>
      </c>
      <c r="C48" s="164">
        <f>'8b) Projekty spolufinancované'!K219-C49</f>
        <v>259204050.71999997</v>
      </c>
      <c r="D48" s="470">
        <f>'8b) Projekty spolufinancované'!L219-D49</f>
        <v>258879639.12999994</v>
      </c>
      <c r="N48" s="518"/>
      <c r="O48" s="518"/>
      <c r="P48" s="518"/>
    </row>
    <row r="49" spans="1:16" s="26" customFormat="1" ht="14.25" x14ac:dyDescent="0.2">
      <c r="A49" s="163" t="s">
        <v>498</v>
      </c>
      <c r="B49" s="164">
        <f>'8b) Projekty spolufinancované'!B128</f>
        <v>0</v>
      </c>
      <c r="C49" s="164">
        <f>'8b) Projekty spolufinancované'!C128</f>
        <v>342949475.67000002</v>
      </c>
      <c r="D49" s="470">
        <f>'8b) Projekty spolufinancované'!D128</f>
        <v>342949475.67000002</v>
      </c>
      <c r="N49" s="518"/>
      <c r="O49" s="518"/>
      <c r="P49" s="518"/>
    </row>
    <row r="50" spans="1:16" s="26" customFormat="1" ht="15" thickBot="1" x14ac:dyDescent="0.25">
      <c r="A50" s="163" t="s">
        <v>272</v>
      </c>
      <c r="B50" s="164">
        <f>'8b) Projekty spolufinancované'!J216+'8c) SMN'!I19</f>
        <v>0</v>
      </c>
      <c r="C50" s="164">
        <f>'8b) Projekty spolufinancované'!K216+'8c) SMN'!J19</f>
        <v>328338633.97000009</v>
      </c>
      <c r="D50" s="470">
        <f>'8b) Projekty spolufinancované'!L216+'8c) SMN'!K19</f>
        <v>328254030.78000009</v>
      </c>
      <c r="F50" s="546"/>
      <c r="G50" s="547"/>
      <c r="H50" s="455" t="s">
        <v>153</v>
      </c>
      <c r="I50" s="171" t="e">
        <f>'8a) OK 2020'!#REF!</f>
        <v>#REF!</v>
      </c>
      <c r="J50" s="171" t="e">
        <f>'8a) OK 2020'!#REF!</f>
        <v>#REF!</v>
      </c>
      <c r="K50" s="171" t="e">
        <f>'8a) OK 2020'!#REF!</f>
        <v>#REF!</v>
      </c>
      <c r="N50" s="518"/>
      <c r="O50" s="518"/>
      <c r="P50" s="518"/>
    </row>
    <row r="51" spans="1:16" s="26" customFormat="1" ht="15.75" thickTop="1" thickBot="1" x14ac:dyDescent="0.25">
      <c r="A51" s="163" t="s">
        <v>273</v>
      </c>
      <c r="B51" s="164">
        <f>'8b) Projekty spolufinancované'!J217</f>
        <v>0</v>
      </c>
      <c r="C51" s="164">
        <f>'8b) Projekty spolufinancované'!K217</f>
        <v>9117005.9499999993</v>
      </c>
      <c r="D51" s="470">
        <f>'8b) Projekty spolufinancované'!L217</f>
        <v>9117005.9499999993</v>
      </c>
      <c r="F51" s="463" t="s">
        <v>155</v>
      </c>
      <c r="G51" s="466">
        <f>C50-D50</f>
        <v>84603.189999997616</v>
      </c>
      <c r="H51" s="455" t="s">
        <v>39</v>
      </c>
      <c r="I51" s="171">
        <f>'8a) OK 2020'!J380</f>
        <v>0</v>
      </c>
      <c r="J51" s="171">
        <f>'8a) OK 2020'!K380</f>
        <v>3961000</v>
      </c>
      <c r="K51" s="171">
        <f>'8a) OK 2020'!L380</f>
        <v>3895526.27</v>
      </c>
      <c r="N51" s="518"/>
      <c r="O51" s="518"/>
      <c r="P51" s="518"/>
    </row>
    <row r="52" spans="1:16" s="27" customFormat="1" ht="17.25" thickTop="1" thickBot="1" x14ac:dyDescent="0.3">
      <c r="A52" s="19" t="s">
        <v>27</v>
      </c>
      <c r="B52" s="20">
        <f>SUM(B47:B51)</f>
        <v>1160886000</v>
      </c>
      <c r="C52" s="20">
        <f>SUM(C47:C51)</f>
        <v>2177440676.4499998</v>
      </c>
      <c r="D52" s="471">
        <f>SUM(D47:D51)</f>
        <v>2034357201.2100003</v>
      </c>
      <c r="F52" s="462" t="s">
        <v>154</v>
      </c>
      <c r="G52" s="467">
        <v>-0.19</v>
      </c>
      <c r="H52" s="455" t="s">
        <v>184</v>
      </c>
      <c r="I52" s="171">
        <f>'8a) OK 2020'!J381</f>
        <v>22000000</v>
      </c>
      <c r="J52" s="171">
        <f>'8a) OK 2020'!K381</f>
        <v>29273000</v>
      </c>
      <c r="K52" s="171">
        <f>'8a) OK 2020'!L381</f>
        <v>28418124.789999999</v>
      </c>
      <c r="N52" s="518"/>
      <c r="O52" s="518"/>
      <c r="P52" s="518"/>
    </row>
    <row r="53" spans="1:16" s="27" customFormat="1" ht="17.25" customHeight="1" thickTop="1" thickBot="1" x14ac:dyDescent="0.25">
      <c r="B53" s="512"/>
      <c r="D53" s="512"/>
      <c r="F53" s="548"/>
      <c r="G53" s="549">
        <f>SUM(G50:G52)</f>
        <v>84602.999999997613</v>
      </c>
      <c r="H53" s="455" t="s">
        <v>137</v>
      </c>
      <c r="I53" s="171" t="e">
        <f>'8a) OK 2020'!#REF!</f>
        <v>#REF!</v>
      </c>
      <c r="J53" s="171" t="e">
        <f>'8a) OK 2020'!#REF!</f>
        <v>#REF!</v>
      </c>
      <c r="K53" s="171" t="e">
        <f>'8a) OK 2020'!#REF!</f>
        <v>#REF!</v>
      </c>
      <c r="N53" s="512"/>
      <c r="O53" s="512"/>
      <c r="P53" s="512"/>
    </row>
    <row r="54" spans="1:16" s="22" customFormat="1" ht="17.25" customHeight="1" x14ac:dyDescent="0.2">
      <c r="A54" s="579" t="s">
        <v>481</v>
      </c>
      <c r="B54" s="514">
        <v>1177726000</v>
      </c>
      <c r="C54" s="514"/>
      <c r="D54" s="514"/>
      <c r="F54" s="550"/>
      <c r="G54" s="551"/>
      <c r="H54" s="456" t="s">
        <v>35</v>
      </c>
      <c r="I54" s="127">
        <f>'8a) OK 2020'!J377</f>
        <v>2480000</v>
      </c>
      <c r="J54" s="127">
        <f>'8a) OK 2020'!K377</f>
        <v>7808000</v>
      </c>
      <c r="K54" s="127">
        <f>'8a) OK 2020'!L377</f>
        <v>6970820</v>
      </c>
    </row>
    <row r="55" spans="1:16" s="22" customFormat="1" x14ac:dyDescent="0.2">
      <c r="A55" s="618"/>
      <c r="B55" s="618"/>
      <c r="C55" s="618"/>
      <c r="D55" s="618"/>
      <c r="F55" s="110"/>
      <c r="G55" s="28"/>
      <c r="H55" s="457" t="s">
        <v>32</v>
      </c>
      <c r="I55" s="124" t="e">
        <f>'8a) OK 2020'!J378+'8a) OK 2020'!#REF!</f>
        <v>#REF!</v>
      </c>
      <c r="J55" s="124" t="e">
        <f>'8a) OK 2020'!K378+'8a) OK 2020'!#REF!</f>
        <v>#REF!</v>
      </c>
      <c r="K55" s="124" t="e">
        <f>'8a) OK 2020'!L378+'8a) OK 2020'!#REF!</f>
        <v>#REF!</v>
      </c>
    </row>
    <row r="56" spans="1:16" s="22" customFormat="1" x14ac:dyDescent="0.2">
      <c r="A56" s="618"/>
      <c r="B56" s="618"/>
      <c r="C56" s="618"/>
      <c r="D56" s="618"/>
      <c r="F56" s="514"/>
      <c r="H56" s="458" t="s">
        <v>38</v>
      </c>
      <c r="I56" s="168">
        <f>'8b) Projekty spolufinancované'!J207</f>
        <v>155802000</v>
      </c>
      <c r="J56" s="168">
        <f>'8b) Projekty spolufinancované'!K207</f>
        <v>453371584.34999996</v>
      </c>
      <c r="K56" s="168">
        <f>'8b) Projekty spolufinancované'!L207</f>
        <v>397652375.78000003</v>
      </c>
    </row>
    <row r="57" spans="1:16" s="28" customFormat="1" ht="15.75" x14ac:dyDescent="0.25">
      <c r="A57" s="553"/>
      <c r="B57" s="554">
        <f>B32+19320000-2480000</f>
        <v>1177726000</v>
      </c>
      <c r="C57" s="553"/>
      <c r="D57" s="553"/>
      <c r="H57" s="459" t="s">
        <v>40</v>
      </c>
      <c r="I57" s="178">
        <f>'8b) Projekty spolufinancované'!J208</f>
        <v>134036000</v>
      </c>
      <c r="J57" s="178">
        <f>'8b) Projekty spolufinancované'!K208</f>
        <v>207713491.85000002</v>
      </c>
      <c r="K57" s="178">
        <f>'8b) Projekty spolufinancované'!L208</f>
        <v>176962817.56999999</v>
      </c>
    </row>
    <row r="58" spans="1:16" s="28" customFormat="1" x14ac:dyDescent="0.2">
      <c r="A58" s="109"/>
      <c r="B58" s="604">
        <f>B54-B57</f>
        <v>0</v>
      </c>
      <c r="E58" s="110"/>
      <c r="F58" s="109"/>
      <c r="G58" s="110"/>
      <c r="H58" s="460" t="s">
        <v>36</v>
      </c>
      <c r="I58" s="177">
        <f>'8b) Projekty spolufinancované'!J209</f>
        <v>19851000</v>
      </c>
      <c r="J58" s="177">
        <f>'8b) Projekty spolufinancované'!K209</f>
        <v>26946556.210000001</v>
      </c>
      <c r="K58" s="177">
        <f>'8b) Projekty spolufinancované'!L209</f>
        <v>24986991.030000001</v>
      </c>
      <c r="L58" s="108"/>
      <c r="M58" s="108"/>
    </row>
    <row r="59" spans="1:16" s="28" customFormat="1" x14ac:dyDescent="0.2">
      <c r="A59" s="108"/>
      <c r="B59" s="108"/>
      <c r="E59" s="108"/>
      <c r="F59" s="108"/>
      <c r="G59" s="108"/>
      <c r="H59" s="461" t="s">
        <v>34</v>
      </c>
      <c r="I59" s="170" t="e">
        <f>'8a) OK 2020'!J379+'8a) OK 2020'!#REF!+'8b) Projekty spolufinancované'!J210</f>
        <v>#REF!</v>
      </c>
      <c r="J59" s="170" t="e">
        <f>'8a) OK 2020'!K379+'8a) OK 2020'!#REF!+'8b) Projekty spolufinancované'!K210</f>
        <v>#REF!</v>
      </c>
      <c r="K59" s="170" t="e">
        <f>'8a) OK 2020'!L379+'8a) OK 2020'!#REF!+'8b) Projekty spolufinancované'!L210</f>
        <v>#REF!</v>
      </c>
      <c r="L59" s="108"/>
      <c r="M59" s="108"/>
    </row>
    <row r="60" spans="1:16" s="28" customFormat="1" x14ac:dyDescent="0.2">
      <c r="A60" s="108"/>
      <c r="B60" s="108"/>
      <c r="E60" s="108"/>
      <c r="F60" s="108"/>
      <c r="G60" s="108"/>
      <c r="H60" s="468" t="s">
        <v>160</v>
      </c>
      <c r="I60" s="469">
        <f>'8c) SMN'!I20</f>
        <v>39653000</v>
      </c>
      <c r="J60" s="469">
        <f>'8c) SMN'!J20</f>
        <v>45139039.440000005</v>
      </c>
      <c r="K60" s="469">
        <f>'8c) SMN'!K20</f>
        <v>41644757.750000007</v>
      </c>
      <c r="L60" s="108"/>
      <c r="M60" s="108"/>
    </row>
    <row r="61" spans="1:16" s="28" customFormat="1" ht="15" x14ac:dyDescent="0.25">
      <c r="H61" s="22"/>
      <c r="I61" s="143" t="e">
        <f>SUM(I50:I60)</f>
        <v>#REF!</v>
      </c>
      <c r="J61" s="143" t="e">
        <f>SUM(J50:J60)</f>
        <v>#REF!</v>
      </c>
      <c r="K61" s="143" t="e">
        <f>SUM(K50:K60)</f>
        <v>#REF!</v>
      </c>
    </row>
    <row r="62" spans="1:16" s="28" customFormat="1" x14ac:dyDescent="0.2"/>
    <row r="63" spans="1:16" s="28" customFormat="1" x14ac:dyDescent="0.2"/>
    <row r="64" spans="1:16" s="28" customFormat="1" x14ac:dyDescent="0.2">
      <c r="I64" s="552"/>
    </row>
    <row r="65" spans="10:11" s="28" customFormat="1" x14ac:dyDescent="0.2">
      <c r="K65" s="552"/>
    </row>
    <row r="66" spans="10:11" s="28" customFormat="1" x14ac:dyDescent="0.2"/>
    <row r="67" spans="10:11" s="28" customFormat="1" x14ac:dyDescent="0.2"/>
    <row r="68" spans="10:11" s="28" customFormat="1" x14ac:dyDescent="0.2">
      <c r="J68" s="517"/>
    </row>
    <row r="69" spans="10:11" s="28" customFormat="1" x14ac:dyDescent="0.2">
      <c r="J69" s="517"/>
    </row>
    <row r="70" spans="10:11" s="28" customFormat="1" x14ac:dyDescent="0.2">
      <c r="J70" s="517"/>
    </row>
    <row r="71" spans="10:11" s="28" customFormat="1" x14ac:dyDescent="0.2"/>
    <row r="72" spans="10:11" s="28" customFormat="1" x14ac:dyDescent="0.2"/>
    <row r="73" spans="10:11" s="28" customFormat="1" x14ac:dyDescent="0.2"/>
    <row r="74" spans="10:11" s="28" customFormat="1" x14ac:dyDescent="0.2"/>
    <row r="75" spans="10:11" s="28" customFormat="1" x14ac:dyDescent="0.2"/>
    <row r="76" spans="10:11" s="28" customFormat="1" x14ac:dyDescent="0.2"/>
  </sheetData>
  <mergeCells count="3">
    <mergeCell ref="A55:D56"/>
    <mergeCell ref="F43:G43"/>
    <mergeCell ref="F37:G37"/>
  </mergeCells>
  <pageMargins left="0.78740157480314965" right="0.78740157480314965" top="0.98425196850393704" bottom="0.98425196850393704" header="0.51181102362204722" footer="0.51181102362204722"/>
  <pageSetup paperSize="9" scale="91" firstPageNumber="48" orientation="portrait" useFirstPageNumber="1" r:id="rId1"/>
  <headerFooter alignWithMargins="0">
    <oddFooter>&amp;L&amp;"Arial,Kurzíva"Zastupitelstvo Olomouckého kraje 21. 6. 2021
11.1. - Rozpočet Olomouckého kraje 2020 – závěrečný účet
Příloha č. 8: Přehled financování oprav a investic v roce 2020&amp;R&amp;"Arial,Kurzíva"Strana &amp;P (celkem 306)</oddFooter>
  </headerFooter>
  <ignoredErrors>
    <ignoredError sqref="B8:D8 B5:D5 B14:D14 B24:D24 B30:D30 B25:D25 B27:D27 B23:D23 B29:D2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60"/>
  <sheetViews>
    <sheetView showGridLines="0" view="pageBreakPreview" zoomScaleNormal="100" zoomScaleSheetLayoutView="100" workbookViewId="0">
      <selection activeCell="A55" sqref="A55:D56"/>
    </sheetView>
  </sheetViews>
  <sheetFormatPr defaultColWidth="9.140625" defaultRowHeight="12.75" x14ac:dyDescent="0.2"/>
  <cols>
    <col min="1" max="1" width="36.140625" style="5" customWidth="1"/>
    <col min="2" max="2" width="19" style="5" customWidth="1"/>
    <col min="3" max="3" width="20.140625" style="5" customWidth="1"/>
    <col min="4" max="4" width="19.42578125" style="5" customWidth="1"/>
    <col min="5" max="5" width="3.28515625" style="5" customWidth="1"/>
    <col min="6" max="6" width="22.5703125" style="5" customWidth="1"/>
    <col min="7" max="7" width="13.5703125" style="5" customWidth="1"/>
    <col min="8" max="8" width="16.28515625" style="5" bestFit="1" customWidth="1"/>
    <col min="9" max="9" width="18.85546875" style="5" customWidth="1"/>
    <col min="10" max="10" width="17.85546875" style="5" customWidth="1"/>
    <col min="11" max="11" width="19.42578125" style="5" customWidth="1"/>
    <col min="12" max="12" width="5" style="5" customWidth="1"/>
    <col min="13" max="13" width="3.85546875" style="5" customWidth="1"/>
    <col min="14" max="14" width="17.28515625" style="5" bestFit="1" customWidth="1"/>
    <col min="15" max="15" width="17.42578125" style="5" customWidth="1"/>
    <col min="16" max="16" width="18.140625" style="5" customWidth="1"/>
    <col min="17" max="16384" width="9.140625" style="5"/>
  </cols>
  <sheetData>
    <row r="1" spans="1:9" ht="18" x14ac:dyDescent="0.25">
      <c r="A1" s="6" t="s">
        <v>476</v>
      </c>
      <c r="B1" s="7"/>
      <c r="C1" s="7"/>
      <c r="D1" s="7"/>
    </row>
    <row r="2" spans="1:9" ht="18.75" thickBot="1" x14ac:dyDescent="0.3">
      <c r="A2" s="8"/>
      <c r="B2" s="9"/>
      <c r="C2" s="9"/>
      <c r="D2" s="10" t="s">
        <v>18</v>
      </c>
    </row>
    <row r="3" spans="1:9" ht="14.25" thickTop="1" thickBot="1" x14ac:dyDescent="0.25">
      <c r="A3" s="11"/>
      <c r="B3" s="12" t="s">
        <v>0</v>
      </c>
      <c r="C3" s="13" t="s">
        <v>1</v>
      </c>
      <c r="D3" s="14" t="s">
        <v>4</v>
      </c>
    </row>
    <row r="4" spans="1:9" ht="16.5" thickTop="1" x14ac:dyDescent="0.25">
      <c r="A4" s="15" t="s">
        <v>7</v>
      </c>
      <c r="B4" s="159">
        <f>SUM(B5:B6)</f>
        <v>7317000</v>
      </c>
      <c r="C4" s="159">
        <f>SUM(C5:C6)</f>
        <v>43956997.120000005</v>
      </c>
      <c r="D4" s="160">
        <f>SUM(D5:D6)</f>
        <v>43916400.730000004</v>
      </c>
    </row>
    <row r="5" spans="1:9" x14ac:dyDescent="0.2">
      <c r="A5" s="156" t="s">
        <v>25</v>
      </c>
      <c r="B5" s="137">
        <f>'8a) OK 2020'!B76</f>
        <v>0</v>
      </c>
      <c r="C5" s="137">
        <f>'8a) OK 2020'!C76</f>
        <v>37158391.570000008</v>
      </c>
      <c r="D5" s="157">
        <f>'8a) OK 2020'!D76</f>
        <v>37158391.570000008</v>
      </c>
    </row>
    <row r="6" spans="1:9" x14ac:dyDescent="0.2">
      <c r="A6" s="156" t="s">
        <v>161</v>
      </c>
      <c r="B6" s="137">
        <f>'8b) Projekty spolufinancované'!B39</f>
        <v>7317000</v>
      </c>
      <c r="C6" s="137">
        <f>'8b) Projekty spolufinancované'!C39</f>
        <v>6798605.5499999998</v>
      </c>
      <c r="D6" s="157">
        <f>'8b) Projekty spolufinancované'!D39</f>
        <v>6758009.1600000001</v>
      </c>
    </row>
    <row r="7" spans="1:9" ht="15.75" x14ac:dyDescent="0.25">
      <c r="A7" s="158" t="s">
        <v>9</v>
      </c>
      <c r="B7" s="159">
        <f>SUM(B8:B9)</f>
        <v>175000</v>
      </c>
      <c r="C7" s="159">
        <f>SUM(C8:C9)</f>
        <v>17070461.77</v>
      </c>
      <c r="D7" s="160">
        <f>SUM(D8:D9)</f>
        <v>17028461.77</v>
      </c>
    </row>
    <row r="8" spans="1:9" x14ac:dyDescent="0.2">
      <c r="A8" s="156" t="s">
        <v>25</v>
      </c>
      <c r="B8" s="137">
        <f>'8a) OK 2020'!B182</f>
        <v>0</v>
      </c>
      <c r="C8" s="137">
        <f>'8a) OK 2020'!C182</f>
        <v>16968740.829999998</v>
      </c>
      <c r="D8" s="157">
        <f>'8a) OK 2020'!D182</f>
        <v>16968740.829999998</v>
      </c>
      <c r="G8" s="16"/>
      <c r="H8" s="17"/>
      <c r="I8" s="18"/>
    </row>
    <row r="9" spans="1:9" x14ac:dyDescent="0.2">
      <c r="A9" s="156" t="s">
        <v>161</v>
      </c>
      <c r="B9" s="137">
        <f>'8b) Projekty spolufinancované'!B74</f>
        <v>175000</v>
      </c>
      <c r="C9" s="137">
        <f>'8b) Projekty spolufinancované'!C74</f>
        <v>101720.94</v>
      </c>
      <c r="D9" s="157">
        <f>'8b) Projekty spolufinancované'!D74</f>
        <v>59720.94</v>
      </c>
      <c r="G9" s="16"/>
      <c r="H9" s="17"/>
      <c r="I9" s="18"/>
    </row>
    <row r="10" spans="1:9" ht="15.75" x14ac:dyDescent="0.25">
      <c r="A10" s="158" t="s">
        <v>8</v>
      </c>
      <c r="B10" s="159">
        <f>SUM(B11:B12)</f>
        <v>5117000</v>
      </c>
      <c r="C10" s="159">
        <f t="shared" ref="C10:D10" si="0">SUM(C11:C12)</f>
        <v>27665492.32</v>
      </c>
      <c r="D10" s="160">
        <f t="shared" si="0"/>
        <v>27276426.659999996</v>
      </c>
    </row>
    <row r="11" spans="1:9" x14ac:dyDescent="0.2">
      <c r="A11" s="156" t="s">
        <v>25</v>
      </c>
      <c r="B11" s="137">
        <f>'8a) OK 2020'!B246</f>
        <v>2750000</v>
      </c>
      <c r="C11" s="137">
        <f>'8a) OK 2020'!C246</f>
        <v>8362739.4199999999</v>
      </c>
      <c r="D11" s="157">
        <f>'8a) OK 2020'!D246</f>
        <v>8362739.4199999999</v>
      </c>
    </row>
    <row r="12" spans="1:9" x14ac:dyDescent="0.2">
      <c r="A12" s="156" t="s">
        <v>161</v>
      </c>
      <c r="B12" s="137">
        <f>'8b) Projekty spolufinancované'!B93</f>
        <v>2367000</v>
      </c>
      <c r="C12" s="137">
        <f>'8b) Projekty spolufinancované'!C93</f>
        <v>19302752.899999999</v>
      </c>
      <c r="D12" s="157">
        <f>'8b) Projekty spolufinancované'!D93</f>
        <v>18913687.239999998</v>
      </c>
    </row>
    <row r="13" spans="1:9" ht="15.75" x14ac:dyDescent="0.25">
      <c r="A13" s="158" t="s">
        <v>11</v>
      </c>
      <c r="B13" s="159">
        <f>SUM(B14:B15)</f>
        <v>149375000</v>
      </c>
      <c r="C13" s="159">
        <f>SUM(C14:C15)</f>
        <v>743377856.56000006</v>
      </c>
      <c r="D13" s="160">
        <f>SUM(D14:D15)</f>
        <v>743377856.56000006</v>
      </c>
    </row>
    <row r="14" spans="1:9" x14ac:dyDescent="0.2">
      <c r="A14" s="156" t="s">
        <v>25</v>
      </c>
      <c r="B14" s="137">
        <f>'8a) OK 2020'!B301</f>
        <v>99484000</v>
      </c>
      <c r="C14" s="137">
        <f>'8a) OK 2020'!C301</f>
        <v>118295582.97</v>
      </c>
      <c r="D14" s="157">
        <f>'8a) OK 2020'!D301</f>
        <v>118295582.97</v>
      </c>
    </row>
    <row r="15" spans="1:9" x14ac:dyDescent="0.2">
      <c r="A15" s="156" t="s">
        <v>161</v>
      </c>
      <c r="B15" s="137">
        <f>'8b) Projekty spolufinancované'!B125</f>
        <v>49891000</v>
      </c>
      <c r="C15" s="137">
        <f>'8b) Projekty spolufinancované'!C125</f>
        <v>625082273.59000003</v>
      </c>
      <c r="D15" s="157">
        <f>'8b) Projekty spolufinancované'!D125</f>
        <v>625082273.59000003</v>
      </c>
    </row>
    <row r="16" spans="1:9" ht="15.75" x14ac:dyDescent="0.25">
      <c r="A16" s="158" t="s">
        <v>10</v>
      </c>
      <c r="B16" s="159">
        <f>SUM(B17:B18)</f>
        <v>32250000</v>
      </c>
      <c r="C16" s="159">
        <f>SUM(C17:C18)</f>
        <v>40849466.590000004</v>
      </c>
      <c r="D16" s="160">
        <f>SUM(D17:D18)</f>
        <v>40849466.590000004</v>
      </c>
    </row>
    <row r="17" spans="1:7" x14ac:dyDescent="0.2">
      <c r="A17" s="156" t="s">
        <v>25</v>
      </c>
      <c r="B17" s="137">
        <f>'8a) OK 2020'!B334</f>
        <v>32218000</v>
      </c>
      <c r="C17" s="137">
        <f>'8a) OK 2020'!C334</f>
        <v>40811400.380000003</v>
      </c>
      <c r="D17" s="157">
        <f>'8a) OK 2020'!D334</f>
        <v>40811400.380000003</v>
      </c>
    </row>
    <row r="18" spans="1:7" ht="13.5" thickBot="1" x14ac:dyDescent="0.25">
      <c r="A18" s="156" t="s">
        <v>161</v>
      </c>
      <c r="B18" s="137">
        <f>'8b) Projekty spolufinancované'!B145</f>
        <v>32000</v>
      </c>
      <c r="C18" s="137">
        <f>'8b) Projekty spolufinancované'!C145</f>
        <v>38066.21</v>
      </c>
      <c r="D18" s="157">
        <f>'8b) Projekty spolufinancované'!D145</f>
        <v>38066.21</v>
      </c>
    </row>
    <row r="19" spans="1:7" ht="17.25" thickTop="1" thickBot="1" x14ac:dyDescent="0.3">
      <c r="A19" s="19" t="s">
        <v>27</v>
      </c>
      <c r="B19" s="20">
        <f>B16+B13+B10+B7+B4</f>
        <v>194234000</v>
      </c>
      <c r="C19" s="20">
        <f t="shared" ref="C19:D19" si="1">C16+C13+C10+C7+C4</f>
        <v>872920274.36000013</v>
      </c>
      <c r="D19" s="471">
        <f t="shared" si="1"/>
        <v>872448612.31000006</v>
      </c>
    </row>
    <row r="20" spans="1:7" ht="16.5" thickTop="1" x14ac:dyDescent="0.25">
      <c r="A20" s="515"/>
      <c r="B20" s="21"/>
      <c r="C20" s="21"/>
      <c r="D20" s="21"/>
    </row>
    <row r="21" spans="1:7" ht="15.75" x14ac:dyDescent="0.25">
      <c r="A21" s="515"/>
      <c r="B21" s="21"/>
      <c r="C21" s="21"/>
      <c r="D21" s="21"/>
    </row>
    <row r="22" spans="1:7" ht="15.75" x14ac:dyDescent="0.25">
      <c r="A22" s="23" t="s">
        <v>163</v>
      </c>
      <c r="B22" s="21"/>
      <c r="C22" s="21"/>
      <c r="D22" s="21"/>
    </row>
    <row r="23" spans="1:7" ht="16.5" thickBot="1" x14ac:dyDescent="0.3">
      <c r="A23" s="23"/>
      <c r="B23" s="21"/>
      <c r="C23" s="21"/>
      <c r="D23" s="10" t="s">
        <v>18</v>
      </c>
    </row>
    <row r="24" spans="1:7" ht="15.75" thickTop="1" thickBot="1" x14ac:dyDescent="0.25">
      <c r="A24" s="11"/>
      <c r="B24" s="12" t="s">
        <v>0</v>
      </c>
      <c r="C24" s="13" t="s">
        <v>1</v>
      </c>
      <c r="D24" s="14" t="s">
        <v>4</v>
      </c>
      <c r="F24" s="621"/>
      <c r="G24" s="621"/>
    </row>
    <row r="25" spans="1:7" ht="15" thickTop="1" x14ac:dyDescent="0.2">
      <c r="A25" s="24" t="s">
        <v>164</v>
      </c>
      <c r="B25" s="25">
        <f>B17+B14+B11+B8+B5</f>
        <v>134452000</v>
      </c>
      <c r="C25" s="25">
        <f>C17+C14+C11+C8+C5</f>
        <v>221596855.16999996</v>
      </c>
      <c r="D25" s="561">
        <f>D17+D14+D11+D8+D5</f>
        <v>221596855.16999996</v>
      </c>
      <c r="F25" s="557"/>
      <c r="G25" s="557"/>
    </row>
    <row r="26" spans="1:7" ht="15" thickBot="1" x14ac:dyDescent="0.25">
      <c r="A26" s="163" t="s">
        <v>165</v>
      </c>
      <c r="B26" s="164">
        <f>B18+B15+B6+B9+B12</f>
        <v>59782000</v>
      </c>
      <c r="C26" s="164">
        <f>C18+C15+C6+C9+C12</f>
        <v>651323419.19000006</v>
      </c>
      <c r="D26" s="470">
        <f>D18+D15+D6+D9+D12</f>
        <v>650851757.1400001</v>
      </c>
      <c r="F26" s="558"/>
      <c r="G26" s="559"/>
    </row>
    <row r="27" spans="1:7" s="22" customFormat="1" ht="17.25" thickTop="1" thickBot="1" x14ac:dyDescent="0.3">
      <c r="A27" s="19" t="s">
        <v>27</v>
      </c>
      <c r="B27" s="20">
        <f>SUM(B25:B26)</f>
        <v>194234000</v>
      </c>
      <c r="C27" s="20">
        <f>SUM(C25:C26)</f>
        <v>872920274.36000001</v>
      </c>
      <c r="D27" s="471">
        <f>SUM(D25:D26)</f>
        <v>872448612.31000006</v>
      </c>
      <c r="F27" s="555"/>
      <c r="G27" s="556"/>
    </row>
    <row r="28" spans="1:7" s="22" customFormat="1" ht="16.5" thickTop="1" x14ac:dyDescent="0.25">
      <c r="A28" s="515"/>
      <c r="B28" s="21"/>
      <c r="C28" s="21"/>
      <c r="D28" s="21"/>
      <c r="F28" s="553"/>
      <c r="G28" s="553"/>
    </row>
    <row r="29" spans="1:7" s="22" customFormat="1" ht="15.75" x14ac:dyDescent="0.25">
      <c r="A29" s="515"/>
      <c r="B29" s="21"/>
      <c r="C29" s="21"/>
      <c r="D29" s="21"/>
      <c r="F29" s="621"/>
      <c r="G29" s="621"/>
    </row>
    <row r="30" spans="1:7" s="22" customFormat="1" ht="15.75" x14ac:dyDescent="0.25">
      <c r="A30" s="23" t="s">
        <v>167</v>
      </c>
      <c r="B30" s="21"/>
      <c r="C30" s="21"/>
      <c r="D30" s="21"/>
      <c r="F30" s="557"/>
      <c r="G30" s="557"/>
    </row>
    <row r="31" spans="1:7" s="22" customFormat="1" ht="16.5" thickBot="1" x14ac:dyDescent="0.3">
      <c r="A31" s="23"/>
      <c r="B31" s="21"/>
      <c r="C31" s="21"/>
      <c r="D31" s="10" t="s">
        <v>18</v>
      </c>
      <c r="F31" s="558"/>
      <c r="G31" s="559"/>
    </row>
    <row r="32" spans="1:7" s="22" customFormat="1" ht="14.25" thickTop="1" thickBot="1" x14ac:dyDescent="0.25">
      <c r="A32" s="11"/>
      <c r="B32" s="12" t="s">
        <v>0</v>
      </c>
      <c r="C32" s="13" t="s">
        <v>1</v>
      </c>
      <c r="D32" s="14" t="s">
        <v>4</v>
      </c>
      <c r="F32" s="555"/>
      <c r="G32" s="556"/>
    </row>
    <row r="33" spans="1:16" s="26" customFormat="1" ht="15" thickTop="1" x14ac:dyDescent="0.2">
      <c r="A33" s="612" t="s">
        <v>168</v>
      </c>
      <c r="B33" s="613">
        <f>'8a) OK 2020'!J379+'8b) Projekty spolufinancované'!J210-B34</f>
        <v>194234000</v>
      </c>
      <c r="C33" s="613">
        <f>'8a) OK 2020'!K379+'8b) Projekty spolufinancované'!K210-C34-C35</f>
        <v>286027565.01000005</v>
      </c>
      <c r="D33" s="614">
        <f>'8a) OK 2020'!L379+'8b) Projekty spolufinancované'!L210-D34-D35</f>
        <v>285555902.9600001</v>
      </c>
      <c r="F33" s="555"/>
      <c r="G33" s="556"/>
      <c r="N33" s="518"/>
      <c r="O33" s="518"/>
      <c r="P33" s="518"/>
    </row>
    <row r="34" spans="1:16" s="26" customFormat="1" ht="14.25" x14ac:dyDescent="0.2">
      <c r="A34" s="163" t="s">
        <v>169</v>
      </c>
      <c r="B34" s="164">
        <f>'8b) Projekty spolufinancované'!B46+'8b) Projekty spolufinancované'!B96+'8b) Projekty spolufinancované'!B126</f>
        <v>0</v>
      </c>
      <c r="C34" s="164">
        <f>'8b) Projekty spolufinancované'!C46+'8b) Projekty spolufinancované'!C96+'8b) Projekty spolufinancované'!C126</f>
        <v>243943233.68000001</v>
      </c>
      <c r="D34" s="470">
        <f>'8b) Projekty spolufinancované'!D46+'8b) Projekty spolufinancované'!D96+'8b) Projekty spolufinancované'!D126</f>
        <v>243943233.68000001</v>
      </c>
      <c r="F34" s="555"/>
      <c r="G34" s="556"/>
      <c r="N34" s="518"/>
      <c r="O34" s="518"/>
      <c r="P34" s="518"/>
    </row>
    <row r="35" spans="1:16" s="26" customFormat="1" ht="15" thickBot="1" x14ac:dyDescent="0.25">
      <c r="A35" s="615" t="s">
        <v>498</v>
      </c>
      <c r="B35" s="616">
        <f>'8b) Projekty spolufinancované'!B128</f>
        <v>0</v>
      </c>
      <c r="C35" s="616">
        <f>'8b) Projekty spolufinancované'!C128</f>
        <v>342949475.67000002</v>
      </c>
      <c r="D35" s="617">
        <f>'8b) Projekty spolufinancované'!D128</f>
        <v>342949475.67000002</v>
      </c>
      <c r="F35" s="560"/>
      <c r="G35" s="560"/>
      <c r="N35" s="518"/>
      <c r="O35" s="518"/>
      <c r="P35" s="518"/>
    </row>
    <row r="36" spans="1:16" s="27" customFormat="1" ht="17.25" thickTop="1" thickBot="1" x14ac:dyDescent="0.3">
      <c r="A36" s="19" t="s">
        <v>27</v>
      </c>
      <c r="B36" s="20">
        <f>SUM(B33:B35)</f>
        <v>194234000</v>
      </c>
      <c r="C36" s="20">
        <f t="shared" ref="C36:D36" si="2">SUM(C33:C35)</f>
        <v>872920274.36000013</v>
      </c>
      <c r="D36" s="471">
        <f t="shared" si="2"/>
        <v>872448612.31000018</v>
      </c>
      <c r="F36" s="555"/>
      <c r="G36" s="556"/>
      <c r="H36" s="455"/>
      <c r="I36" s="171"/>
      <c r="J36" s="171"/>
      <c r="K36" s="171"/>
      <c r="N36" s="518"/>
      <c r="O36" s="518"/>
      <c r="P36" s="518"/>
    </row>
    <row r="37" spans="1:16" s="27" customFormat="1" ht="17.25" customHeight="1" thickTop="1" x14ac:dyDescent="0.2">
      <c r="B37" s="512"/>
      <c r="D37" s="512"/>
      <c r="F37" s="555"/>
      <c r="G37" s="556"/>
      <c r="H37" s="455"/>
      <c r="I37" s="171"/>
      <c r="J37" s="171"/>
      <c r="K37" s="171"/>
      <c r="N37" s="512"/>
      <c r="O37" s="512"/>
      <c r="P37" s="512"/>
    </row>
    <row r="38" spans="1:16" s="22" customFormat="1" ht="17.25" customHeight="1" x14ac:dyDescent="0.2">
      <c r="B38" s="514"/>
      <c r="D38" s="514"/>
      <c r="F38" s="555"/>
      <c r="G38" s="556"/>
      <c r="H38" s="456"/>
      <c r="I38" s="127"/>
      <c r="J38" s="127"/>
      <c r="K38" s="127"/>
    </row>
    <row r="39" spans="1:16" s="22" customFormat="1" x14ac:dyDescent="0.2">
      <c r="A39" s="618"/>
      <c r="B39" s="618"/>
      <c r="C39" s="618"/>
      <c r="D39" s="618"/>
      <c r="F39" s="110"/>
      <c r="G39" s="28"/>
      <c r="H39" s="457"/>
      <c r="I39" s="124"/>
      <c r="J39" s="124"/>
      <c r="K39" s="124"/>
    </row>
    <row r="40" spans="1:16" s="22" customFormat="1" x14ac:dyDescent="0.2">
      <c r="A40" s="618"/>
      <c r="B40" s="618"/>
      <c r="C40" s="618"/>
      <c r="D40" s="618"/>
      <c r="H40" s="458"/>
      <c r="I40" s="168"/>
      <c r="J40" s="168"/>
      <c r="K40" s="168"/>
    </row>
    <row r="41" spans="1:16" s="28" customFormat="1" ht="15.75" x14ac:dyDescent="0.25">
      <c r="A41" s="553"/>
      <c r="B41" s="554"/>
      <c r="C41" s="553"/>
      <c r="D41" s="553"/>
      <c r="H41" s="459"/>
      <c r="I41" s="178"/>
      <c r="J41" s="178"/>
      <c r="K41" s="178"/>
    </row>
    <row r="42" spans="1:16" s="28" customFormat="1" x14ac:dyDescent="0.2">
      <c r="A42" s="109"/>
      <c r="B42" s="110"/>
      <c r="E42" s="110"/>
      <c r="F42" s="109"/>
      <c r="G42" s="110"/>
      <c r="H42" s="460"/>
      <c r="I42" s="177"/>
      <c r="J42" s="177"/>
      <c r="K42" s="177"/>
      <c r="L42" s="108"/>
      <c r="M42" s="108"/>
    </row>
    <row r="43" spans="1:16" s="28" customFormat="1" x14ac:dyDescent="0.2">
      <c r="A43" s="108"/>
      <c r="B43" s="108"/>
      <c r="E43" s="108"/>
      <c r="F43" s="108"/>
      <c r="G43" s="108"/>
      <c r="H43" s="461"/>
      <c r="I43" s="170"/>
      <c r="J43" s="170"/>
      <c r="K43" s="170"/>
      <c r="L43" s="108"/>
      <c r="M43" s="108"/>
    </row>
    <row r="44" spans="1:16" s="28" customFormat="1" x14ac:dyDescent="0.2">
      <c r="A44" s="108"/>
      <c r="B44" s="108"/>
      <c r="E44" s="108"/>
      <c r="F44" s="108"/>
      <c r="G44" s="108"/>
      <c r="H44" s="468"/>
      <c r="I44" s="469"/>
      <c r="J44" s="469"/>
      <c r="K44" s="469"/>
      <c r="L44" s="108"/>
      <c r="M44" s="108"/>
    </row>
    <row r="45" spans="1:16" s="28" customFormat="1" ht="15" x14ac:dyDescent="0.25">
      <c r="H45" s="22"/>
      <c r="I45" s="143"/>
      <c r="J45" s="143"/>
      <c r="K45" s="143"/>
    </row>
    <row r="46" spans="1:16" s="28" customFormat="1" x14ac:dyDescent="0.2"/>
    <row r="47" spans="1:16" s="28" customFormat="1" x14ac:dyDescent="0.2"/>
    <row r="48" spans="1:16" s="28" customFormat="1" x14ac:dyDescent="0.2">
      <c r="I48" s="552"/>
    </row>
    <row r="49" spans="10:10" s="28" customFormat="1" x14ac:dyDescent="0.2"/>
    <row r="50" spans="10:10" s="28" customFormat="1" x14ac:dyDescent="0.2"/>
    <row r="51" spans="10:10" s="28" customFormat="1" x14ac:dyDescent="0.2"/>
    <row r="52" spans="10:10" s="28" customFormat="1" x14ac:dyDescent="0.2">
      <c r="J52" s="517"/>
    </row>
    <row r="53" spans="10:10" s="28" customFormat="1" x14ac:dyDescent="0.2">
      <c r="J53" s="517"/>
    </row>
    <row r="54" spans="10:10" s="28" customFormat="1" x14ac:dyDescent="0.2">
      <c r="J54" s="517"/>
    </row>
    <row r="55" spans="10:10" s="28" customFormat="1" x14ac:dyDescent="0.2"/>
    <row r="56" spans="10:10" s="28" customFormat="1" x14ac:dyDescent="0.2"/>
    <row r="57" spans="10:10" s="28" customFormat="1" x14ac:dyDescent="0.2"/>
    <row r="58" spans="10:10" s="28" customFormat="1" x14ac:dyDescent="0.2"/>
    <row r="59" spans="10:10" s="28" customFormat="1" x14ac:dyDescent="0.2"/>
    <row r="60" spans="10:10" s="28" customFormat="1" x14ac:dyDescent="0.2"/>
  </sheetData>
  <mergeCells count="3">
    <mergeCell ref="F24:G24"/>
    <mergeCell ref="F29:G29"/>
    <mergeCell ref="A39:D40"/>
  </mergeCells>
  <pageMargins left="0.78740157480314965" right="0.78740157480314965" top="0.98425196850393704" bottom="0.98425196850393704" header="0.51181102362204722" footer="0.51181102362204722"/>
  <pageSetup paperSize="9" scale="91" firstPageNumber="168" orientation="portrait" useFirstPageNumber="1" r:id="rId1"/>
  <headerFooter alignWithMargins="0"/>
  <ignoredErrors>
    <ignoredError sqref="B8:D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96"/>
  <sheetViews>
    <sheetView showGridLines="0" view="pageBreakPreview" topLeftCell="A356" zoomScaleNormal="100" zoomScaleSheetLayoutView="100" workbookViewId="0">
      <selection activeCell="A55" sqref="A55:D56"/>
    </sheetView>
  </sheetViews>
  <sheetFormatPr defaultColWidth="9.140625" defaultRowHeight="12.75" x14ac:dyDescent="0.2"/>
  <cols>
    <col min="1" max="1" width="77.7109375" style="5" customWidth="1"/>
    <col min="2" max="2" width="17.140625" style="5" customWidth="1"/>
    <col min="3" max="3" width="17.42578125" style="5" customWidth="1"/>
    <col min="4" max="4" width="17.28515625" style="5" bestFit="1" customWidth="1"/>
    <col min="5" max="5" width="7.5703125" style="37" customWidth="1"/>
    <col min="6" max="6" width="8.85546875" style="92" customWidth="1"/>
    <col min="7" max="7" width="22.42578125" style="38" customWidth="1"/>
    <col min="8" max="8" width="9.85546875" style="38" customWidth="1"/>
    <col min="9" max="9" width="19.42578125" style="5" customWidth="1"/>
    <col min="10" max="10" width="18.28515625" style="5" customWidth="1"/>
    <col min="11" max="11" width="20.7109375" style="5" customWidth="1"/>
    <col min="12" max="12" width="17.5703125" style="5" customWidth="1"/>
    <col min="13" max="16384" width="9.140625" style="5"/>
  </cols>
  <sheetData>
    <row r="1" spans="1:12" s="32" customFormat="1" ht="18" x14ac:dyDescent="0.25">
      <c r="A1" s="29" t="s">
        <v>480</v>
      </c>
      <c r="B1" s="29"/>
      <c r="C1" s="29"/>
      <c r="D1" s="29"/>
      <c r="E1" s="29"/>
      <c r="F1" s="91"/>
      <c r="G1" s="30"/>
      <c r="H1" s="31"/>
    </row>
    <row r="2" spans="1:12" s="35" customFormat="1" ht="15.75" x14ac:dyDescent="0.25">
      <c r="A2" s="33" t="s">
        <v>96</v>
      </c>
      <c r="B2" s="34"/>
      <c r="C2" s="34"/>
      <c r="D2" s="34"/>
      <c r="E2" s="34"/>
      <c r="F2" s="91"/>
      <c r="G2" s="30"/>
      <c r="H2" s="31"/>
    </row>
    <row r="3" spans="1:12" ht="12" customHeight="1" x14ac:dyDescent="0.2"/>
    <row r="4" spans="1:12" ht="15" customHeight="1" x14ac:dyDescent="0.25">
      <c r="A4" s="36" t="s">
        <v>19</v>
      </c>
    </row>
    <row r="5" spans="1:12" ht="15.75" thickBot="1" x14ac:dyDescent="0.3">
      <c r="A5" s="39" t="s">
        <v>101</v>
      </c>
      <c r="D5" s="3"/>
      <c r="E5" s="40" t="s">
        <v>18</v>
      </c>
    </row>
    <row r="6" spans="1:12" ht="14.25" thickTop="1" thickBot="1" x14ac:dyDescent="0.25">
      <c r="A6" s="41" t="s">
        <v>5</v>
      </c>
      <c r="B6" s="42" t="s">
        <v>0</v>
      </c>
      <c r="C6" s="43" t="s">
        <v>1</v>
      </c>
      <c r="D6" s="44" t="s">
        <v>4</v>
      </c>
      <c r="E6" s="45" t="s">
        <v>6</v>
      </c>
    </row>
    <row r="7" spans="1:12" ht="15.75" thickTop="1" x14ac:dyDescent="0.25">
      <c r="A7" s="46" t="s">
        <v>7</v>
      </c>
      <c r="B7" s="47">
        <f>SUM(B8:B72)</f>
        <v>135941000</v>
      </c>
      <c r="C7" s="47">
        <f t="shared" ref="C7:D7" si="0">SUM(C8:C72)</f>
        <v>202756243.04999998</v>
      </c>
      <c r="D7" s="47">
        <f t="shared" si="0"/>
        <v>189137755.53</v>
      </c>
      <c r="E7" s="48">
        <f t="shared" ref="E7:E12" si="1">D7/C7*100</f>
        <v>93.283320249408234</v>
      </c>
      <c r="H7" s="56"/>
      <c r="I7" s="129"/>
      <c r="J7" s="130"/>
      <c r="K7" s="131"/>
    </row>
    <row r="8" spans="1:12" s="88" customFormat="1" x14ac:dyDescent="0.2">
      <c r="A8" s="229" t="s">
        <v>424</v>
      </c>
      <c r="B8" s="230">
        <v>300000</v>
      </c>
      <c r="C8" s="233">
        <v>0</v>
      </c>
      <c r="D8" s="233">
        <v>0</v>
      </c>
      <c r="E8" s="495">
        <v>0</v>
      </c>
      <c r="F8" s="81">
        <v>100585</v>
      </c>
      <c r="G8" s="115" t="s">
        <v>32</v>
      </c>
      <c r="H8" s="132"/>
      <c r="I8" s="133"/>
      <c r="J8" s="133"/>
      <c r="K8" s="133"/>
    </row>
    <row r="9" spans="1:12" s="88" customFormat="1" x14ac:dyDescent="0.2">
      <c r="A9" s="234" t="s">
        <v>193</v>
      </c>
      <c r="B9" s="230">
        <v>903000</v>
      </c>
      <c r="C9" s="231">
        <v>0</v>
      </c>
      <c r="D9" s="233">
        <v>0</v>
      </c>
      <c r="E9" s="495">
        <v>0</v>
      </c>
      <c r="F9" s="81">
        <v>100827</v>
      </c>
      <c r="G9" s="115" t="s">
        <v>32</v>
      </c>
      <c r="H9" s="87"/>
      <c r="I9" s="126"/>
      <c r="J9" s="127"/>
      <c r="K9" s="127"/>
      <c r="L9" s="127"/>
    </row>
    <row r="10" spans="1:12" s="88" customFormat="1" ht="25.5" x14ac:dyDescent="0.2">
      <c r="A10" s="234" t="s">
        <v>73</v>
      </c>
      <c r="B10" s="230">
        <v>19240000</v>
      </c>
      <c r="C10" s="231">
        <v>18827291.84</v>
      </c>
      <c r="D10" s="233">
        <v>18827291.84</v>
      </c>
      <c r="E10" s="495">
        <f t="shared" si="1"/>
        <v>100</v>
      </c>
      <c r="F10" s="81">
        <v>101020</v>
      </c>
      <c r="G10" s="115" t="s">
        <v>32</v>
      </c>
      <c r="H10" s="87"/>
      <c r="I10" s="126"/>
      <c r="J10" s="127"/>
      <c r="K10" s="127"/>
      <c r="L10" s="127"/>
    </row>
    <row r="11" spans="1:12" s="88" customFormat="1" ht="25.5" x14ac:dyDescent="0.2">
      <c r="A11" s="234" t="s">
        <v>74</v>
      </c>
      <c r="B11" s="230">
        <v>0</v>
      </c>
      <c r="C11" s="231">
        <v>8500</v>
      </c>
      <c r="D11" s="233">
        <v>8050</v>
      </c>
      <c r="E11" s="495">
        <f t="shared" si="1"/>
        <v>94.705882352941174</v>
      </c>
      <c r="F11" s="81">
        <v>101126</v>
      </c>
      <c r="G11" s="115" t="s">
        <v>32</v>
      </c>
      <c r="H11" s="87"/>
      <c r="I11" s="126"/>
      <c r="J11" s="127"/>
      <c r="K11" s="127"/>
      <c r="L11" s="127"/>
    </row>
    <row r="12" spans="1:12" s="88" customFormat="1" x14ac:dyDescent="0.2">
      <c r="A12" s="234" t="s">
        <v>75</v>
      </c>
      <c r="B12" s="230">
        <v>0</v>
      </c>
      <c r="C12" s="231">
        <v>1301242.1499999999</v>
      </c>
      <c r="D12" s="233">
        <v>1301242.1499999999</v>
      </c>
      <c r="E12" s="495">
        <f t="shared" si="1"/>
        <v>100</v>
      </c>
      <c r="F12" s="81">
        <v>101127</v>
      </c>
      <c r="G12" s="115" t="s">
        <v>32</v>
      </c>
      <c r="H12" s="87"/>
      <c r="I12" s="126"/>
      <c r="J12" s="127"/>
      <c r="K12" s="127"/>
      <c r="L12" s="127"/>
    </row>
    <row r="13" spans="1:12" s="88" customFormat="1" ht="25.5" x14ac:dyDescent="0.2">
      <c r="A13" s="234" t="s">
        <v>425</v>
      </c>
      <c r="B13" s="230">
        <v>0</v>
      </c>
      <c r="C13" s="231">
        <v>210365.2</v>
      </c>
      <c r="D13" s="233">
        <v>210365.2</v>
      </c>
      <c r="E13" s="232">
        <f t="shared" ref="E13:E72" si="2">D13/C13*100</f>
        <v>100</v>
      </c>
      <c r="F13" s="81">
        <v>101133</v>
      </c>
      <c r="G13" s="115" t="s">
        <v>32</v>
      </c>
      <c r="H13" s="87"/>
      <c r="I13" s="126"/>
      <c r="J13" s="127"/>
      <c r="K13" s="127"/>
      <c r="L13" s="127"/>
    </row>
    <row r="14" spans="1:12" s="88" customFormat="1" x14ac:dyDescent="0.2">
      <c r="A14" s="234" t="s">
        <v>76</v>
      </c>
      <c r="B14" s="230">
        <v>411000</v>
      </c>
      <c r="C14" s="231">
        <v>411000</v>
      </c>
      <c r="D14" s="233">
        <v>0</v>
      </c>
      <c r="E14" s="232">
        <f t="shared" si="2"/>
        <v>0</v>
      </c>
      <c r="F14" s="81">
        <v>101148</v>
      </c>
      <c r="G14" s="115" t="s">
        <v>32</v>
      </c>
      <c r="H14" s="183"/>
      <c r="I14" s="126"/>
      <c r="J14" s="127"/>
      <c r="K14" s="127"/>
      <c r="L14" s="127"/>
    </row>
    <row r="15" spans="1:12" s="88" customFormat="1" ht="25.5" x14ac:dyDescent="0.2">
      <c r="A15" s="234" t="s">
        <v>77</v>
      </c>
      <c r="B15" s="230">
        <v>100000</v>
      </c>
      <c r="C15" s="231">
        <v>111000</v>
      </c>
      <c r="D15" s="233">
        <v>0</v>
      </c>
      <c r="E15" s="232">
        <f t="shared" si="2"/>
        <v>0</v>
      </c>
      <c r="F15" s="81">
        <v>101150</v>
      </c>
      <c r="G15" s="115" t="s">
        <v>32</v>
      </c>
      <c r="H15" s="183"/>
      <c r="I15" s="126"/>
      <c r="J15" s="127"/>
      <c r="K15" s="127"/>
      <c r="L15" s="127"/>
    </row>
    <row r="16" spans="1:12" s="88" customFormat="1" ht="25.5" x14ac:dyDescent="0.2">
      <c r="A16" s="234" t="s">
        <v>426</v>
      </c>
      <c r="B16" s="230">
        <v>0</v>
      </c>
      <c r="C16" s="231">
        <v>4175</v>
      </c>
      <c r="D16" s="233">
        <v>3254</v>
      </c>
      <c r="E16" s="232">
        <f t="shared" si="2"/>
        <v>77.94011976047905</v>
      </c>
      <c r="F16" s="81">
        <v>101164</v>
      </c>
      <c r="G16" s="115" t="s">
        <v>32</v>
      </c>
      <c r="H16" s="183"/>
      <c r="I16" s="126"/>
      <c r="J16" s="127"/>
      <c r="K16" s="127"/>
      <c r="L16" s="127"/>
    </row>
    <row r="17" spans="1:12" s="88" customFormat="1" ht="25.5" x14ac:dyDescent="0.2">
      <c r="A17" s="234" t="s">
        <v>116</v>
      </c>
      <c r="B17" s="230">
        <v>2336000</v>
      </c>
      <c r="C17" s="231">
        <v>2506570</v>
      </c>
      <c r="D17" s="233">
        <v>1040050</v>
      </c>
      <c r="E17" s="232">
        <f t="shared" si="2"/>
        <v>41.492956510290959</v>
      </c>
      <c r="F17" s="81">
        <v>101165</v>
      </c>
      <c r="G17" s="115" t="s">
        <v>32</v>
      </c>
      <c r="H17" s="183"/>
      <c r="I17" s="126"/>
      <c r="J17" s="127"/>
      <c r="K17" s="127"/>
      <c r="L17" s="127"/>
    </row>
    <row r="18" spans="1:12" s="88" customFormat="1" x14ac:dyDescent="0.2">
      <c r="A18" s="234" t="s">
        <v>304</v>
      </c>
      <c r="B18" s="230">
        <v>0</v>
      </c>
      <c r="C18" s="231">
        <v>1000</v>
      </c>
      <c r="D18" s="233">
        <v>1000</v>
      </c>
      <c r="E18" s="232">
        <f t="shared" si="2"/>
        <v>100</v>
      </c>
      <c r="F18" s="81">
        <v>101212</v>
      </c>
      <c r="G18" s="115" t="s">
        <v>32</v>
      </c>
      <c r="H18" s="183"/>
      <c r="I18" s="126"/>
      <c r="J18" s="127"/>
      <c r="K18" s="127"/>
      <c r="L18" s="127"/>
    </row>
    <row r="19" spans="1:12" s="88" customFormat="1" x14ac:dyDescent="0.2">
      <c r="A19" s="234" t="s">
        <v>305</v>
      </c>
      <c r="B19" s="230">
        <v>40180000</v>
      </c>
      <c r="C19" s="231">
        <v>41889646.560000002</v>
      </c>
      <c r="D19" s="233">
        <v>41582065.520000003</v>
      </c>
      <c r="E19" s="232">
        <f t="shared" si="2"/>
        <v>99.26573493629401</v>
      </c>
      <c r="F19" s="81">
        <v>101213</v>
      </c>
      <c r="G19" s="115" t="s">
        <v>32</v>
      </c>
      <c r="H19" s="183"/>
      <c r="I19" s="126"/>
      <c r="J19" s="127"/>
      <c r="K19" s="127"/>
      <c r="L19" s="127"/>
    </row>
    <row r="20" spans="1:12" s="88" customFormat="1" x14ac:dyDescent="0.2">
      <c r="A20" s="234" t="s">
        <v>104</v>
      </c>
      <c r="B20" s="230">
        <v>0</v>
      </c>
      <c r="C20" s="231">
        <v>200000</v>
      </c>
      <c r="D20" s="233">
        <v>90241.8</v>
      </c>
      <c r="E20" s="232">
        <f t="shared" si="2"/>
        <v>45.120900000000006</v>
      </c>
      <c r="F20" s="81">
        <v>101222</v>
      </c>
      <c r="G20" s="115" t="s">
        <v>32</v>
      </c>
      <c r="H20" s="183"/>
      <c r="I20" s="126"/>
      <c r="J20" s="127"/>
      <c r="K20" s="127"/>
      <c r="L20" s="127"/>
    </row>
    <row r="21" spans="1:12" s="88" customFormat="1" x14ac:dyDescent="0.2">
      <c r="A21" s="234" t="s">
        <v>105</v>
      </c>
      <c r="B21" s="230">
        <v>771000</v>
      </c>
      <c r="C21" s="231">
        <v>0</v>
      </c>
      <c r="D21" s="233">
        <v>0</v>
      </c>
      <c r="E21" s="232">
        <v>0</v>
      </c>
      <c r="F21" s="81">
        <v>101226</v>
      </c>
      <c r="G21" s="115" t="s">
        <v>32</v>
      </c>
      <c r="H21" s="183"/>
      <c r="I21" s="126"/>
      <c r="J21" s="127"/>
      <c r="K21" s="127"/>
      <c r="L21" s="127"/>
    </row>
    <row r="22" spans="1:12" s="88" customFormat="1" x14ac:dyDescent="0.2">
      <c r="A22" s="519" t="s">
        <v>185</v>
      </c>
      <c r="B22" s="520">
        <v>15204000</v>
      </c>
      <c r="C22" s="586">
        <v>30908274</v>
      </c>
      <c r="D22" s="582">
        <v>30906459</v>
      </c>
      <c r="E22" s="232">
        <f t="shared" si="2"/>
        <v>99.994127785977298</v>
      </c>
      <c r="F22" s="81">
        <v>101273</v>
      </c>
      <c r="G22" s="141" t="s">
        <v>32</v>
      </c>
      <c r="H22" s="183"/>
      <c r="I22" s="126"/>
      <c r="J22" s="127"/>
      <c r="K22" s="127"/>
      <c r="L22" s="127"/>
    </row>
    <row r="23" spans="1:12" s="88" customFormat="1" ht="25.5" x14ac:dyDescent="0.2">
      <c r="A23" s="519" t="s">
        <v>186</v>
      </c>
      <c r="B23" s="520">
        <v>19620000</v>
      </c>
      <c r="C23" s="586">
        <v>22714000</v>
      </c>
      <c r="D23" s="582">
        <v>19642614.82</v>
      </c>
      <c r="E23" s="232">
        <f t="shared" si="2"/>
        <v>86.478008364885099</v>
      </c>
      <c r="F23" s="81">
        <v>101275</v>
      </c>
      <c r="G23" s="115" t="s">
        <v>32</v>
      </c>
      <c r="H23" s="183"/>
      <c r="I23" s="126"/>
      <c r="J23" s="127"/>
      <c r="K23" s="127"/>
      <c r="L23" s="127"/>
    </row>
    <row r="24" spans="1:12" s="88" customFormat="1" ht="25.5" customHeight="1" x14ac:dyDescent="0.2">
      <c r="A24" s="562" t="s">
        <v>187</v>
      </c>
      <c r="B24" s="520">
        <v>578000</v>
      </c>
      <c r="C24" s="586">
        <v>500336</v>
      </c>
      <c r="D24" s="582">
        <v>54824</v>
      </c>
      <c r="E24" s="232">
        <f t="shared" si="2"/>
        <v>10.95743660260305</v>
      </c>
      <c r="F24" s="81">
        <v>101279</v>
      </c>
      <c r="G24" s="141" t="s">
        <v>32</v>
      </c>
      <c r="H24" s="183"/>
      <c r="I24" s="127"/>
      <c r="J24" s="127"/>
      <c r="K24" s="127"/>
      <c r="L24" s="127"/>
    </row>
    <row r="25" spans="1:12" s="88" customFormat="1" x14ac:dyDescent="0.2">
      <c r="A25" s="519" t="s">
        <v>188</v>
      </c>
      <c r="B25" s="520">
        <v>0</v>
      </c>
      <c r="C25" s="586">
        <v>5021910.3600000003</v>
      </c>
      <c r="D25" s="582">
        <v>5021910.3600000003</v>
      </c>
      <c r="E25" s="232">
        <f t="shared" si="2"/>
        <v>100</v>
      </c>
      <c r="F25" s="81">
        <v>101280</v>
      </c>
      <c r="G25" s="141" t="s">
        <v>32</v>
      </c>
      <c r="H25" s="183"/>
      <c r="I25" s="126"/>
      <c r="J25" s="127"/>
      <c r="K25" s="127"/>
      <c r="L25" s="127"/>
    </row>
    <row r="26" spans="1:12" s="88" customFormat="1" x14ac:dyDescent="0.2">
      <c r="A26" s="519" t="s">
        <v>189</v>
      </c>
      <c r="B26" s="520">
        <v>0</v>
      </c>
      <c r="C26" s="586">
        <v>4000</v>
      </c>
      <c r="D26" s="582">
        <v>3400</v>
      </c>
      <c r="E26" s="232">
        <f t="shared" si="2"/>
        <v>85</v>
      </c>
      <c r="F26" s="81">
        <v>101282</v>
      </c>
      <c r="G26" s="141" t="s">
        <v>32</v>
      </c>
      <c r="H26" s="183"/>
      <c r="I26" s="126"/>
      <c r="J26" s="127"/>
      <c r="K26" s="127"/>
      <c r="L26" s="127"/>
    </row>
    <row r="27" spans="1:12" s="88" customFormat="1" x14ac:dyDescent="0.2">
      <c r="A27" s="519" t="s">
        <v>190</v>
      </c>
      <c r="B27" s="520">
        <v>0</v>
      </c>
      <c r="C27" s="586">
        <v>705085</v>
      </c>
      <c r="D27" s="582">
        <v>0</v>
      </c>
      <c r="E27" s="232">
        <f t="shared" si="2"/>
        <v>0</v>
      </c>
      <c r="F27" s="81">
        <v>101284</v>
      </c>
      <c r="G27" s="141" t="s">
        <v>32</v>
      </c>
      <c r="H27" s="183"/>
      <c r="I27" s="126"/>
      <c r="J27" s="127"/>
      <c r="K27" s="127"/>
      <c r="L27" s="127"/>
    </row>
    <row r="28" spans="1:12" s="88" customFormat="1" ht="25.5" x14ac:dyDescent="0.2">
      <c r="A28" s="519" t="s">
        <v>191</v>
      </c>
      <c r="B28" s="520">
        <v>0</v>
      </c>
      <c r="C28" s="586">
        <v>8879000</v>
      </c>
      <c r="D28" s="582">
        <v>7991094.5999999996</v>
      </c>
      <c r="E28" s="232">
        <f t="shared" si="2"/>
        <v>89.999939182340356</v>
      </c>
      <c r="F28" s="81">
        <v>101316</v>
      </c>
      <c r="G28" s="141" t="s">
        <v>32</v>
      </c>
      <c r="H28" s="183"/>
      <c r="I28" s="126"/>
      <c r="J28" s="127"/>
      <c r="K28" s="127"/>
      <c r="L28" s="127"/>
    </row>
    <row r="29" spans="1:12" s="88" customFormat="1" x14ac:dyDescent="0.2">
      <c r="A29" s="519" t="s">
        <v>192</v>
      </c>
      <c r="B29" s="520">
        <v>0</v>
      </c>
      <c r="C29" s="586">
        <v>14018257.119999999</v>
      </c>
      <c r="D29" s="582">
        <v>10606790.029999999</v>
      </c>
      <c r="E29" s="232">
        <f t="shared" si="2"/>
        <v>75.664113870954594</v>
      </c>
      <c r="F29" s="81">
        <v>101320</v>
      </c>
      <c r="G29" s="115" t="s">
        <v>32</v>
      </c>
      <c r="H29" s="183"/>
      <c r="I29" s="126"/>
      <c r="J29" s="127"/>
      <c r="K29" s="127"/>
      <c r="L29" s="127"/>
    </row>
    <row r="30" spans="1:12" s="88" customFormat="1" x14ac:dyDescent="0.2">
      <c r="A30" s="234" t="s">
        <v>359</v>
      </c>
      <c r="B30" s="230">
        <v>0</v>
      </c>
      <c r="C30" s="233">
        <v>4261555</v>
      </c>
      <c r="D30" s="233">
        <v>4261533.1100000003</v>
      </c>
      <c r="E30" s="232">
        <f t="shared" si="2"/>
        <v>99.999486337733529</v>
      </c>
      <c r="F30" s="81">
        <v>101354</v>
      </c>
      <c r="G30" s="115" t="s">
        <v>32</v>
      </c>
      <c r="H30" s="183"/>
      <c r="I30" s="127"/>
      <c r="J30" s="127"/>
      <c r="K30" s="127"/>
      <c r="L30" s="127"/>
    </row>
    <row r="31" spans="1:12" s="88" customFormat="1" x14ac:dyDescent="0.2">
      <c r="A31" s="234" t="s">
        <v>306</v>
      </c>
      <c r="B31" s="230">
        <v>482000</v>
      </c>
      <c r="C31" s="233">
        <v>486580</v>
      </c>
      <c r="D31" s="233">
        <v>486580</v>
      </c>
      <c r="E31" s="232">
        <f t="shared" si="2"/>
        <v>100</v>
      </c>
      <c r="F31" s="81">
        <v>101356</v>
      </c>
      <c r="G31" s="115" t="s">
        <v>32</v>
      </c>
      <c r="H31" s="183"/>
      <c r="I31" s="127"/>
      <c r="J31" s="127"/>
      <c r="K31" s="127"/>
      <c r="L31" s="127"/>
    </row>
    <row r="32" spans="1:12" s="88" customFormat="1" x14ac:dyDescent="0.2">
      <c r="A32" s="234" t="s">
        <v>307</v>
      </c>
      <c r="B32" s="230">
        <v>47000</v>
      </c>
      <c r="C32" s="233">
        <v>202000</v>
      </c>
      <c r="D32" s="233">
        <v>201020</v>
      </c>
      <c r="E32" s="232">
        <f t="shared" si="2"/>
        <v>99.514851485148512</v>
      </c>
      <c r="F32" s="81">
        <v>101357</v>
      </c>
      <c r="G32" s="115" t="s">
        <v>32</v>
      </c>
      <c r="H32" s="183"/>
      <c r="I32" s="127"/>
      <c r="J32" s="127"/>
      <c r="K32" s="127"/>
      <c r="L32" s="127"/>
    </row>
    <row r="33" spans="1:12" s="88" customFormat="1" ht="25.5" x14ac:dyDescent="0.2">
      <c r="A33" s="234" t="s">
        <v>308</v>
      </c>
      <c r="B33" s="230">
        <v>500000</v>
      </c>
      <c r="C33" s="233">
        <v>860224.09</v>
      </c>
      <c r="D33" s="233">
        <v>860224.09</v>
      </c>
      <c r="E33" s="232">
        <f t="shared" si="2"/>
        <v>100</v>
      </c>
      <c r="F33" s="81">
        <v>101358</v>
      </c>
      <c r="G33" s="115" t="s">
        <v>32</v>
      </c>
      <c r="H33" s="183"/>
      <c r="I33" s="127"/>
      <c r="J33" s="127"/>
      <c r="K33" s="127"/>
      <c r="L33" s="127"/>
    </row>
    <row r="34" spans="1:12" s="88" customFormat="1" ht="25.5" x14ac:dyDescent="0.2">
      <c r="A34" s="234" t="s">
        <v>309</v>
      </c>
      <c r="B34" s="230">
        <v>917000</v>
      </c>
      <c r="C34" s="233">
        <v>183920</v>
      </c>
      <c r="D34" s="233">
        <v>183920</v>
      </c>
      <c r="E34" s="232">
        <f t="shared" si="2"/>
        <v>100</v>
      </c>
      <c r="F34" s="81">
        <v>101359</v>
      </c>
      <c r="G34" s="115" t="s">
        <v>32</v>
      </c>
      <c r="H34" s="183"/>
      <c r="I34" s="127"/>
      <c r="J34" s="127"/>
      <c r="K34" s="127"/>
      <c r="L34" s="127"/>
    </row>
    <row r="35" spans="1:12" s="88" customFormat="1" ht="25.5" x14ac:dyDescent="0.2">
      <c r="A35" s="234" t="s">
        <v>310</v>
      </c>
      <c r="B35" s="230">
        <v>300000</v>
      </c>
      <c r="C35" s="233">
        <v>0</v>
      </c>
      <c r="D35" s="233">
        <v>0</v>
      </c>
      <c r="E35" s="232">
        <v>0</v>
      </c>
      <c r="F35" s="81">
        <v>101360</v>
      </c>
      <c r="G35" s="115" t="s">
        <v>32</v>
      </c>
      <c r="H35" s="183"/>
      <c r="I35" s="127"/>
      <c r="J35" s="127"/>
      <c r="K35" s="127"/>
      <c r="L35" s="127"/>
    </row>
    <row r="36" spans="1:12" s="88" customFormat="1" x14ac:dyDescent="0.2">
      <c r="A36" s="234" t="s">
        <v>311</v>
      </c>
      <c r="B36" s="230">
        <v>500000</v>
      </c>
      <c r="C36" s="233">
        <v>831833.48</v>
      </c>
      <c r="D36" s="233">
        <v>0</v>
      </c>
      <c r="E36" s="232">
        <v>0</v>
      </c>
      <c r="F36" s="81">
        <v>101361</v>
      </c>
      <c r="G36" s="115" t="s">
        <v>32</v>
      </c>
      <c r="H36" s="183"/>
      <c r="I36" s="127"/>
      <c r="J36" s="127"/>
      <c r="K36" s="127"/>
      <c r="L36" s="127"/>
    </row>
    <row r="37" spans="1:12" s="88" customFormat="1" x14ac:dyDescent="0.2">
      <c r="A37" s="234" t="s">
        <v>312</v>
      </c>
      <c r="B37" s="230">
        <v>500000</v>
      </c>
      <c r="C37" s="233">
        <v>696000</v>
      </c>
      <c r="D37" s="233">
        <v>695387</v>
      </c>
      <c r="E37" s="232">
        <f t="shared" si="2"/>
        <v>99.911925287356311</v>
      </c>
      <c r="F37" s="81">
        <v>101362</v>
      </c>
      <c r="G37" s="115" t="s">
        <v>32</v>
      </c>
      <c r="H37" s="183"/>
      <c r="I37" s="127"/>
      <c r="J37" s="127"/>
      <c r="K37" s="127"/>
      <c r="L37" s="127"/>
    </row>
    <row r="38" spans="1:12" s="88" customFormat="1" ht="25.5" x14ac:dyDescent="0.2">
      <c r="A38" s="234" t="s">
        <v>313</v>
      </c>
      <c r="B38" s="230">
        <v>0</v>
      </c>
      <c r="C38" s="233">
        <v>35753.019999999997</v>
      </c>
      <c r="D38" s="233">
        <v>35753.019999999997</v>
      </c>
      <c r="E38" s="232">
        <f t="shared" si="2"/>
        <v>100</v>
      </c>
      <c r="F38" s="81">
        <v>101363</v>
      </c>
      <c r="G38" s="115" t="s">
        <v>32</v>
      </c>
      <c r="H38" s="183"/>
      <c r="I38" s="127"/>
      <c r="J38" s="127"/>
      <c r="K38" s="127"/>
      <c r="L38" s="127"/>
    </row>
    <row r="39" spans="1:12" s="88" customFormat="1" ht="25.5" x14ac:dyDescent="0.2">
      <c r="A39" s="234" t="s">
        <v>314</v>
      </c>
      <c r="B39" s="230">
        <v>0</v>
      </c>
      <c r="C39" s="233">
        <v>4840</v>
      </c>
      <c r="D39" s="233">
        <v>4840</v>
      </c>
      <c r="E39" s="232">
        <f t="shared" si="2"/>
        <v>100</v>
      </c>
      <c r="F39" s="81">
        <v>101368</v>
      </c>
      <c r="G39" s="115" t="s">
        <v>32</v>
      </c>
      <c r="H39" s="183"/>
      <c r="I39" s="127"/>
      <c r="J39" s="127"/>
      <c r="K39" s="127"/>
      <c r="L39" s="127"/>
    </row>
    <row r="40" spans="1:12" s="88" customFormat="1" ht="38.25" x14ac:dyDescent="0.2">
      <c r="A40" s="234" t="s">
        <v>315</v>
      </c>
      <c r="B40" s="230">
        <v>20000</v>
      </c>
      <c r="C40" s="233">
        <v>24360</v>
      </c>
      <c r="D40" s="233">
        <v>24360</v>
      </c>
      <c r="E40" s="232">
        <f t="shared" si="2"/>
        <v>100</v>
      </c>
      <c r="F40" s="81">
        <v>101370</v>
      </c>
      <c r="G40" s="115" t="s">
        <v>32</v>
      </c>
      <c r="H40" s="183"/>
      <c r="I40" s="127"/>
      <c r="J40" s="127"/>
      <c r="K40" s="127"/>
      <c r="L40" s="127"/>
    </row>
    <row r="41" spans="1:12" s="88" customFormat="1" ht="25.5" x14ac:dyDescent="0.2">
      <c r="A41" s="234" t="s">
        <v>316</v>
      </c>
      <c r="B41" s="230">
        <v>10998000</v>
      </c>
      <c r="C41" s="233">
        <v>10838000</v>
      </c>
      <c r="D41" s="233">
        <v>10678388.460000001</v>
      </c>
      <c r="E41" s="232">
        <f t="shared" si="2"/>
        <v>98.527297102786505</v>
      </c>
      <c r="F41" s="81">
        <v>101373</v>
      </c>
      <c r="G41" s="115" t="s">
        <v>32</v>
      </c>
      <c r="H41" s="183"/>
      <c r="I41" s="127"/>
      <c r="J41" s="127"/>
      <c r="K41" s="127"/>
      <c r="L41" s="127"/>
    </row>
    <row r="42" spans="1:12" s="88" customFormat="1" ht="25.5" x14ac:dyDescent="0.2">
      <c r="A42" s="234" t="s">
        <v>317</v>
      </c>
      <c r="B42" s="230">
        <v>0</v>
      </c>
      <c r="C42" s="233">
        <v>345800</v>
      </c>
      <c r="D42" s="233">
        <v>345800</v>
      </c>
      <c r="E42" s="232">
        <f t="shared" si="2"/>
        <v>100</v>
      </c>
      <c r="F42" s="81">
        <v>101374</v>
      </c>
      <c r="G42" s="115" t="s">
        <v>32</v>
      </c>
      <c r="H42" s="183"/>
      <c r="I42" s="127"/>
      <c r="J42" s="127"/>
      <c r="K42" s="127"/>
      <c r="L42" s="127"/>
    </row>
    <row r="43" spans="1:12" s="88" customFormat="1" x14ac:dyDescent="0.2">
      <c r="A43" s="234" t="s">
        <v>318</v>
      </c>
      <c r="B43" s="230">
        <v>0</v>
      </c>
      <c r="C43" s="233">
        <v>100000</v>
      </c>
      <c r="D43" s="233">
        <v>96800</v>
      </c>
      <c r="E43" s="232">
        <f t="shared" si="2"/>
        <v>96.8</v>
      </c>
      <c r="F43" s="81">
        <v>101377</v>
      </c>
      <c r="G43" s="115" t="s">
        <v>32</v>
      </c>
      <c r="H43" s="183"/>
      <c r="I43" s="127"/>
      <c r="J43" s="127"/>
      <c r="K43" s="127"/>
      <c r="L43" s="127"/>
    </row>
    <row r="44" spans="1:12" s="88" customFormat="1" x14ac:dyDescent="0.2">
      <c r="A44" s="234" t="s">
        <v>319</v>
      </c>
      <c r="B44" s="230">
        <v>0</v>
      </c>
      <c r="C44" s="233">
        <v>819673.86</v>
      </c>
      <c r="D44" s="233">
        <v>819673.86</v>
      </c>
      <c r="E44" s="232">
        <f t="shared" si="2"/>
        <v>100</v>
      </c>
      <c r="F44" s="81">
        <v>101378</v>
      </c>
      <c r="G44" s="115" t="s">
        <v>32</v>
      </c>
      <c r="H44" s="183"/>
      <c r="I44" s="127"/>
      <c r="J44" s="127"/>
      <c r="K44" s="127"/>
      <c r="L44" s="127"/>
    </row>
    <row r="45" spans="1:12" s="88" customFormat="1" ht="25.5" x14ac:dyDescent="0.2">
      <c r="A45" s="234" t="s">
        <v>320</v>
      </c>
      <c r="B45" s="230">
        <v>5200000</v>
      </c>
      <c r="C45" s="233">
        <v>4272024.92</v>
      </c>
      <c r="D45" s="233">
        <v>4272024.92</v>
      </c>
      <c r="E45" s="232">
        <f t="shared" si="2"/>
        <v>100</v>
      </c>
      <c r="F45" s="81">
        <v>101379</v>
      </c>
      <c r="G45" s="115" t="s">
        <v>32</v>
      </c>
      <c r="H45" s="183"/>
      <c r="I45" s="127"/>
      <c r="J45" s="127"/>
      <c r="K45" s="127"/>
      <c r="L45" s="127"/>
    </row>
    <row r="46" spans="1:12" s="88" customFormat="1" x14ac:dyDescent="0.2">
      <c r="A46" s="234" t="s">
        <v>321</v>
      </c>
      <c r="B46" s="230">
        <v>0</v>
      </c>
      <c r="C46" s="233">
        <v>5000</v>
      </c>
      <c r="D46" s="233">
        <v>5000</v>
      </c>
      <c r="E46" s="232">
        <f t="shared" si="2"/>
        <v>100</v>
      </c>
      <c r="F46" s="81">
        <v>101380</v>
      </c>
      <c r="G46" s="115" t="s">
        <v>32</v>
      </c>
      <c r="H46" s="183"/>
      <c r="I46" s="127"/>
      <c r="J46" s="127"/>
      <c r="K46" s="127"/>
      <c r="L46" s="127"/>
    </row>
    <row r="47" spans="1:12" s="88" customFormat="1" x14ac:dyDescent="0.2">
      <c r="A47" s="234" t="s">
        <v>322</v>
      </c>
      <c r="B47" s="230">
        <v>0</v>
      </c>
      <c r="C47" s="233">
        <v>175926</v>
      </c>
      <c r="D47" s="233">
        <v>175926</v>
      </c>
      <c r="E47" s="232">
        <f t="shared" si="2"/>
        <v>100</v>
      </c>
      <c r="F47" s="81">
        <v>101382</v>
      </c>
      <c r="G47" s="115" t="s">
        <v>32</v>
      </c>
      <c r="H47" s="183"/>
      <c r="I47" s="127"/>
      <c r="J47" s="127"/>
      <c r="K47" s="127"/>
      <c r="L47" s="127"/>
    </row>
    <row r="48" spans="1:12" s="88" customFormat="1" x14ac:dyDescent="0.2">
      <c r="A48" s="234" t="s">
        <v>323</v>
      </c>
      <c r="B48" s="230">
        <v>0</v>
      </c>
      <c r="C48" s="233">
        <v>101316</v>
      </c>
      <c r="D48" s="233">
        <v>101316</v>
      </c>
      <c r="E48" s="232">
        <f t="shared" si="2"/>
        <v>100</v>
      </c>
      <c r="F48" s="81">
        <v>101384</v>
      </c>
      <c r="G48" s="115" t="s">
        <v>32</v>
      </c>
      <c r="H48" s="183"/>
      <c r="I48" s="127"/>
      <c r="J48" s="127"/>
      <c r="K48" s="127"/>
      <c r="L48" s="127"/>
    </row>
    <row r="49" spans="1:12" s="88" customFormat="1" ht="25.5" x14ac:dyDescent="0.2">
      <c r="A49" s="234" t="s">
        <v>324</v>
      </c>
      <c r="B49" s="230">
        <v>2350000</v>
      </c>
      <c r="C49" s="233">
        <v>1675338.44</v>
      </c>
      <c r="D49" s="233">
        <v>1675338.44</v>
      </c>
      <c r="E49" s="232">
        <f t="shared" si="2"/>
        <v>100</v>
      </c>
      <c r="F49" s="81">
        <v>101385</v>
      </c>
      <c r="G49" s="115" t="s">
        <v>32</v>
      </c>
      <c r="H49" s="183"/>
      <c r="I49" s="127"/>
      <c r="J49" s="127"/>
      <c r="K49" s="127"/>
      <c r="L49" s="127"/>
    </row>
    <row r="50" spans="1:12" s="88" customFormat="1" x14ac:dyDescent="0.2">
      <c r="A50" s="234" t="s">
        <v>325</v>
      </c>
      <c r="B50" s="230">
        <v>84000</v>
      </c>
      <c r="C50" s="233">
        <v>191085</v>
      </c>
      <c r="D50" s="233">
        <v>150085</v>
      </c>
      <c r="E50" s="232">
        <f t="shared" si="2"/>
        <v>78.543580082162393</v>
      </c>
      <c r="F50" s="81">
        <v>101388</v>
      </c>
      <c r="G50" s="115" t="s">
        <v>32</v>
      </c>
      <c r="H50" s="183"/>
      <c r="I50" s="127"/>
      <c r="J50" s="127"/>
      <c r="K50" s="127"/>
      <c r="L50" s="127"/>
    </row>
    <row r="51" spans="1:12" s="88" customFormat="1" x14ac:dyDescent="0.2">
      <c r="A51" s="234" t="s">
        <v>326</v>
      </c>
      <c r="B51" s="230">
        <v>500000</v>
      </c>
      <c r="C51" s="233">
        <v>508360</v>
      </c>
      <c r="D51" s="233">
        <v>508360</v>
      </c>
      <c r="E51" s="232">
        <f t="shared" si="2"/>
        <v>100</v>
      </c>
      <c r="F51" s="81">
        <v>101390</v>
      </c>
      <c r="G51" s="115" t="s">
        <v>32</v>
      </c>
      <c r="H51" s="183"/>
      <c r="I51" s="127"/>
      <c r="J51" s="127"/>
      <c r="K51" s="127"/>
      <c r="L51" s="127"/>
    </row>
    <row r="52" spans="1:12" s="88" customFormat="1" ht="25.5" x14ac:dyDescent="0.2">
      <c r="A52" s="234" t="s">
        <v>327</v>
      </c>
      <c r="B52" s="230">
        <v>0</v>
      </c>
      <c r="C52" s="233">
        <v>271040</v>
      </c>
      <c r="D52" s="233">
        <v>271040</v>
      </c>
      <c r="E52" s="232">
        <f t="shared" si="2"/>
        <v>100</v>
      </c>
      <c r="F52" s="81">
        <v>101391</v>
      </c>
      <c r="G52" s="115" t="s">
        <v>32</v>
      </c>
      <c r="H52" s="183"/>
      <c r="I52" s="127"/>
      <c r="J52" s="127"/>
      <c r="K52" s="127"/>
      <c r="L52" s="127"/>
    </row>
    <row r="53" spans="1:12" s="88" customFormat="1" x14ac:dyDescent="0.2">
      <c r="A53" s="234" t="s">
        <v>328</v>
      </c>
      <c r="B53" s="230">
        <v>7877000</v>
      </c>
      <c r="C53" s="233">
        <v>7437810.5800000001</v>
      </c>
      <c r="D53" s="233">
        <v>7437810.5800000001</v>
      </c>
      <c r="E53" s="232">
        <f t="shared" si="2"/>
        <v>100</v>
      </c>
      <c r="F53" s="81">
        <v>101392</v>
      </c>
      <c r="G53" s="115" t="s">
        <v>32</v>
      </c>
      <c r="H53" s="183"/>
      <c r="I53" s="127"/>
      <c r="J53" s="127"/>
      <c r="K53" s="127"/>
      <c r="L53" s="127"/>
    </row>
    <row r="54" spans="1:12" s="88" customFormat="1" ht="25.5" x14ac:dyDescent="0.2">
      <c r="A54" s="234" t="s">
        <v>329</v>
      </c>
      <c r="B54" s="230">
        <v>800000</v>
      </c>
      <c r="C54" s="233">
        <v>63845</v>
      </c>
      <c r="D54" s="233">
        <v>53845</v>
      </c>
      <c r="E54" s="232">
        <f t="shared" si="2"/>
        <v>84.337066332524074</v>
      </c>
      <c r="F54" s="81">
        <v>101393</v>
      </c>
      <c r="G54" s="115" t="s">
        <v>32</v>
      </c>
      <c r="H54" s="183"/>
      <c r="I54" s="127"/>
      <c r="J54" s="127"/>
      <c r="K54" s="127"/>
      <c r="L54" s="127"/>
    </row>
    <row r="55" spans="1:12" s="88" customFormat="1" ht="25.5" x14ac:dyDescent="0.2">
      <c r="A55" s="234" t="s">
        <v>330</v>
      </c>
      <c r="B55" s="230">
        <v>272000</v>
      </c>
      <c r="C55" s="233">
        <v>0</v>
      </c>
      <c r="D55" s="233">
        <v>0</v>
      </c>
      <c r="E55" s="232">
        <v>0</v>
      </c>
      <c r="F55" s="81">
        <v>101395</v>
      </c>
      <c r="G55" s="115" t="s">
        <v>32</v>
      </c>
      <c r="H55" s="183"/>
      <c r="I55" s="127"/>
      <c r="J55" s="127"/>
      <c r="K55" s="127"/>
      <c r="L55" s="127"/>
    </row>
    <row r="56" spans="1:12" s="88" customFormat="1" ht="25.5" x14ac:dyDescent="0.2">
      <c r="A56" s="234" t="s">
        <v>331</v>
      </c>
      <c r="B56" s="230">
        <v>1451000</v>
      </c>
      <c r="C56" s="233">
        <v>1407390</v>
      </c>
      <c r="D56" s="233">
        <v>1407390</v>
      </c>
      <c r="E56" s="232">
        <f t="shared" si="2"/>
        <v>100</v>
      </c>
      <c r="F56" s="81">
        <v>101396</v>
      </c>
      <c r="G56" s="115" t="s">
        <v>32</v>
      </c>
      <c r="H56" s="183"/>
      <c r="I56" s="127"/>
      <c r="J56" s="127"/>
      <c r="K56" s="127"/>
      <c r="L56" s="127"/>
    </row>
    <row r="57" spans="1:12" s="88" customFormat="1" x14ac:dyDescent="0.2">
      <c r="A57" s="234" t="s">
        <v>332</v>
      </c>
      <c r="B57" s="230">
        <v>0</v>
      </c>
      <c r="C57" s="233">
        <v>6287000</v>
      </c>
      <c r="D57" s="233">
        <v>6046431.75</v>
      </c>
      <c r="E57" s="232">
        <f t="shared" si="2"/>
        <v>96.173560521711465</v>
      </c>
      <c r="F57" s="81">
        <v>101398</v>
      </c>
      <c r="G57" s="115" t="s">
        <v>32</v>
      </c>
      <c r="H57" s="183"/>
      <c r="I57" s="127"/>
      <c r="J57" s="127"/>
      <c r="K57" s="127"/>
      <c r="L57" s="127"/>
    </row>
    <row r="58" spans="1:12" s="88" customFormat="1" x14ac:dyDescent="0.2">
      <c r="A58" s="234" t="s">
        <v>333</v>
      </c>
      <c r="B58" s="230">
        <v>500000</v>
      </c>
      <c r="C58" s="233">
        <v>150000</v>
      </c>
      <c r="D58" s="233">
        <v>143278.1</v>
      </c>
      <c r="E58" s="232">
        <f t="shared" si="2"/>
        <v>95.518733333333344</v>
      </c>
      <c r="F58" s="81">
        <v>101399</v>
      </c>
      <c r="G58" s="115" t="s">
        <v>32</v>
      </c>
      <c r="H58" s="183"/>
      <c r="I58" s="127"/>
      <c r="J58" s="127"/>
      <c r="K58" s="127"/>
      <c r="L58" s="127"/>
    </row>
    <row r="59" spans="1:12" s="88" customFormat="1" x14ac:dyDescent="0.2">
      <c r="A59" s="234" t="s">
        <v>334</v>
      </c>
      <c r="B59" s="230">
        <v>1000000</v>
      </c>
      <c r="C59" s="233">
        <v>98010</v>
      </c>
      <c r="D59" s="233">
        <v>85910</v>
      </c>
      <c r="E59" s="232">
        <f t="shared" si="2"/>
        <v>87.654320987654316</v>
      </c>
      <c r="F59" s="81">
        <v>101400</v>
      </c>
      <c r="G59" s="115" t="s">
        <v>32</v>
      </c>
      <c r="H59" s="183"/>
      <c r="I59" s="127"/>
      <c r="J59" s="127"/>
      <c r="K59" s="127"/>
      <c r="L59" s="127"/>
    </row>
    <row r="60" spans="1:12" s="88" customFormat="1" ht="25.5" x14ac:dyDescent="0.2">
      <c r="A60" s="234" t="s">
        <v>335</v>
      </c>
      <c r="B60" s="230">
        <v>1000000</v>
      </c>
      <c r="C60" s="233">
        <v>0</v>
      </c>
      <c r="D60" s="233">
        <v>0</v>
      </c>
      <c r="E60" s="232">
        <v>0</v>
      </c>
      <c r="F60" s="81">
        <v>101402</v>
      </c>
      <c r="G60" s="115" t="s">
        <v>32</v>
      </c>
      <c r="H60" s="183"/>
      <c r="I60" s="127"/>
      <c r="J60" s="127"/>
      <c r="K60" s="127"/>
      <c r="L60" s="127"/>
    </row>
    <row r="61" spans="1:12" s="88" customFormat="1" ht="25.5" x14ac:dyDescent="0.2">
      <c r="A61" s="234" t="s">
        <v>427</v>
      </c>
      <c r="B61" s="230">
        <v>0</v>
      </c>
      <c r="C61" s="233">
        <v>199650</v>
      </c>
      <c r="D61" s="233">
        <v>199650</v>
      </c>
      <c r="E61" s="232">
        <f t="shared" si="2"/>
        <v>100</v>
      </c>
      <c r="F61" s="81">
        <v>101421</v>
      </c>
      <c r="G61" s="115" t="s">
        <v>32</v>
      </c>
      <c r="H61" s="183"/>
      <c r="I61" s="127"/>
      <c r="J61" s="127"/>
      <c r="K61" s="127"/>
      <c r="L61" s="127"/>
    </row>
    <row r="62" spans="1:12" s="88" customFormat="1" ht="25.5" x14ac:dyDescent="0.2">
      <c r="A62" s="234" t="s">
        <v>428</v>
      </c>
      <c r="B62" s="230">
        <v>500000</v>
      </c>
      <c r="C62" s="233">
        <v>300350</v>
      </c>
      <c r="D62" s="233">
        <v>229900</v>
      </c>
      <c r="E62" s="232">
        <f t="shared" si="2"/>
        <v>76.544031962710164</v>
      </c>
      <c r="F62" s="81">
        <v>101424</v>
      </c>
      <c r="G62" s="115" t="s">
        <v>32</v>
      </c>
      <c r="H62" s="183"/>
      <c r="I62" s="127"/>
      <c r="J62" s="127"/>
      <c r="K62" s="127"/>
      <c r="L62" s="127"/>
    </row>
    <row r="63" spans="1:12" s="88" customFormat="1" x14ac:dyDescent="0.2">
      <c r="A63" s="234" t="s">
        <v>429</v>
      </c>
      <c r="B63" s="230">
        <v>0</v>
      </c>
      <c r="C63" s="233">
        <v>328675</v>
      </c>
      <c r="D63" s="233">
        <v>318995</v>
      </c>
      <c r="E63" s="232">
        <f t="shared" si="2"/>
        <v>97.054841408686386</v>
      </c>
      <c r="F63" s="81">
        <v>101436</v>
      </c>
      <c r="G63" s="115" t="s">
        <v>32</v>
      </c>
      <c r="H63" s="183"/>
      <c r="I63" s="127"/>
      <c r="J63" s="127"/>
      <c r="K63" s="127"/>
      <c r="L63" s="127"/>
    </row>
    <row r="64" spans="1:12" s="88" customFormat="1" x14ac:dyDescent="0.2">
      <c r="A64" s="234" t="s">
        <v>336</v>
      </c>
      <c r="B64" s="230">
        <v>500000</v>
      </c>
      <c r="C64" s="233">
        <v>3324838.23</v>
      </c>
      <c r="D64" s="233">
        <v>3324838.23</v>
      </c>
      <c r="E64" s="232">
        <f t="shared" si="2"/>
        <v>100</v>
      </c>
      <c r="F64" s="81">
        <v>101442</v>
      </c>
      <c r="G64" s="115" t="s">
        <v>32</v>
      </c>
      <c r="H64" s="183"/>
      <c r="I64" s="127"/>
      <c r="J64" s="127"/>
      <c r="K64" s="127"/>
      <c r="L64" s="127"/>
    </row>
    <row r="65" spans="1:12" s="88" customFormat="1" ht="25.5" x14ac:dyDescent="0.2">
      <c r="A65" s="234" t="s">
        <v>430</v>
      </c>
      <c r="B65" s="230">
        <v>0</v>
      </c>
      <c r="C65" s="233">
        <v>42293.2</v>
      </c>
      <c r="D65" s="233">
        <v>0</v>
      </c>
      <c r="E65" s="232">
        <f t="shared" si="2"/>
        <v>0</v>
      </c>
      <c r="F65" s="81">
        <v>101464</v>
      </c>
      <c r="G65" s="115" t="s">
        <v>32</v>
      </c>
      <c r="H65" s="183"/>
      <c r="I65" s="127"/>
      <c r="J65" s="127"/>
      <c r="K65" s="127"/>
      <c r="L65" s="127"/>
    </row>
    <row r="66" spans="1:12" s="88" customFormat="1" x14ac:dyDescent="0.2">
      <c r="A66" s="234" t="s">
        <v>431</v>
      </c>
      <c r="B66" s="230">
        <v>0</v>
      </c>
      <c r="C66" s="233">
        <v>183920</v>
      </c>
      <c r="D66" s="233">
        <v>183920</v>
      </c>
      <c r="E66" s="232">
        <f t="shared" si="2"/>
        <v>100</v>
      </c>
      <c r="F66" s="81">
        <v>101465</v>
      </c>
      <c r="G66" s="115" t="s">
        <v>32</v>
      </c>
      <c r="H66" s="183"/>
      <c r="I66" s="127"/>
      <c r="J66" s="127"/>
      <c r="K66" s="127"/>
      <c r="L66" s="127"/>
    </row>
    <row r="67" spans="1:12" s="88" customFormat="1" x14ac:dyDescent="0.2">
      <c r="A67" s="234" t="s">
        <v>432</v>
      </c>
      <c r="B67" s="230">
        <v>0</v>
      </c>
      <c r="C67" s="233">
        <v>186258</v>
      </c>
      <c r="D67" s="233">
        <v>186258</v>
      </c>
      <c r="E67" s="232">
        <f t="shared" si="2"/>
        <v>100</v>
      </c>
      <c r="F67" s="81">
        <v>101466</v>
      </c>
      <c r="G67" s="115" t="s">
        <v>32</v>
      </c>
      <c r="H67" s="183"/>
      <c r="I67" s="127"/>
      <c r="J67" s="127"/>
      <c r="K67" s="127"/>
      <c r="L67" s="127"/>
    </row>
    <row r="68" spans="1:12" s="88" customFormat="1" ht="25.5" x14ac:dyDescent="0.2">
      <c r="A68" s="234" t="s">
        <v>433</v>
      </c>
      <c r="B68" s="230">
        <v>0</v>
      </c>
      <c r="C68" s="233">
        <v>472000</v>
      </c>
      <c r="D68" s="233">
        <v>8477</v>
      </c>
      <c r="E68" s="232">
        <f t="shared" si="2"/>
        <v>1.7959745762711865</v>
      </c>
      <c r="F68" s="81">
        <v>101468</v>
      </c>
      <c r="G68" s="115" t="s">
        <v>32</v>
      </c>
      <c r="H68" s="183"/>
      <c r="I68" s="127"/>
      <c r="J68" s="127"/>
      <c r="K68" s="127"/>
      <c r="L68" s="127"/>
    </row>
    <row r="69" spans="1:12" s="88" customFormat="1" x14ac:dyDescent="0.2">
      <c r="A69" s="234" t="s">
        <v>434</v>
      </c>
      <c r="B69" s="230">
        <v>0</v>
      </c>
      <c r="C69" s="233">
        <v>300000</v>
      </c>
      <c r="D69" s="233">
        <v>0</v>
      </c>
      <c r="E69" s="232">
        <f t="shared" si="2"/>
        <v>0</v>
      </c>
      <c r="F69" s="81">
        <v>101469</v>
      </c>
      <c r="G69" s="115" t="s">
        <v>32</v>
      </c>
      <c r="H69" s="183"/>
      <c r="I69" s="127"/>
      <c r="J69" s="127"/>
      <c r="K69" s="127"/>
      <c r="L69" s="127"/>
    </row>
    <row r="70" spans="1:12" s="88" customFormat="1" x14ac:dyDescent="0.2">
      <c r="A70" s="234" t="s">
        <v>435</v>
      </c>
      <c r="B70" s="230">
        <v>0</v>
      </c>
      <c r="C70" s="233">
        <v>62920</v>
      </c>
      <c r="D70" s="233">
        <v>62920</v>
      </c>
      <c r="E70" s="232">
        <f t="shared" si="2"/>
        <v>100</v>
      </c>
      <c r="F70" s="81">
        <v>101470</v>
      </c>
      <c r="G70" s="115" t="s">
        <v>32</v>
      </c>
      <c r="H70" s="183"/>
      <c r="I70" s="127"/>
      <c r="J70" s="127"/>
      <c r="K70" s="127"/>
      <c r="L70" s="127"/>
    </row>
    <row r="71" spans="1:12" s="88" customFormat="1" x14ac:dyDescent="0.2">
      <c r="A71" s="234" t="s">
        <v>436</v>
      </c>
      <c r="B71" s="230">
        <v>0</v>
      </c>
      <c r="C71" s="233">
        <v>4149000</v>
      </c>
      <c r="D71" s="233">
        <v>4087682.77</v>
      </c>
      <c r="E71" s="232">
        <f t="shared" si="2"/>
        <v>98.522120269944566</v>
      </c>
      <c r="F71" s="81">
        <v>101471</v>
      </c>
      <c r="G71" s="115" t="s">
        <v>32</v>
      </c>
      <c r="H71" s="183"/>
      <c r="I71" s="127"/>
      <c r="J71" s="127"/>
      <c r="K71" s="127"/>
      <c r="L71" s="127"/>
    </row>
    <row r="72" spans="1:12" s="88" customFormat="1" ht="13.5" thickBot="1" x14ac:dyDescent="0.25">
      <c r="A72" s="235" t="s">
        <v>437</v>
      </c>
      <c r="B72" s="433">
        <v>0</v>
      </c>
      <c r="C72" s="236">
        <v>2650000</v>
      </c>
      <c r="D72" s="236">
        <v>2216425.88</v>
      </c>
      <c r="E72" s="237">
        <f t="shared" si="2"/>
        <v>83.638712452830191</v>
      </c>
      <c r="F72" s="81">
        <v>101474</v>
      </c>
      <c r="G72" s="115" t="s">
        <v>32</v>
      </c>
      <c r="H72" s="183"/>
      <c r="I72" s="127"/>
      <c r="J72" s="127"/>
      <c r="K72" s="127"/>
      <c r="L72" s="127"/>
    </row>
    <row r="73" spans="1:12" s="49" customFormat="1" ht="13.5" thickTop="1" x14ac:dyDescent="0.2">
      <c r="A73" s="175"/>
      <c r="B73" s="113"/>
      <c r="C73" s="139"/>
      <c r="D73" s="139"/>
      <c r="E73" s="52"/>
      <c r="F73" s="81"/>
      <c r="G73" s="148"/>
      <c r="H73" s="184"/>
    </row>
    <row r="74" spans="1:12" ht="15.75" thickBot="1" x14ac:dyDescent="0.25">
      <c r="A74" s="180" t="s">
        <v>29</v>
      </c>
      <c r="B74" s="472"/>
      <c r="C74" s="9"/>
      <c r="D74" s="10"/>
      <c r="E74" s="181" t="s">
        <v>18</v>
      </c>
    </row>
    <row r="75" spans="1:12" ht="14.25" thickTop="1" thickBot="1" x14ac:dyDescent="0.25">
      <c r="A75" s="41" t="s">
        <v>5</v>
      </c>
      <c r="B75" s="42" t="s">
        <v>0</v>
      </c>
      <c r="C75" s="43" t="s">
        <v>1</v>
      </c>
      <c r="D75" s="44" t="s">
        <v>4</v>
      </c>
      <c r="E75" s="45" t="s">
        <v>6</v>
      </c>
    </row>
    <row r="76" spans="1:12" ht="15.75" thickTop="1" x14ac:dyDescent="0.2">
      <c r="A76" s="46" t="s">
        <v>7</v>
      </c>
      <c r="B76" s="47">
        <f>SUM(B77:B130)</f>
        <v>0</v>
      </c>
      <c r="C76" s="47">
        <f t="shared" ref="C76:D76" si="3">SUM(C77:C130)</f>
        <v>37158391.570000008</v>
      </c>
      <c r="D76" s="47">
        <f t="shared" si="3"/>
        <v>37158391.570000008</v>
      </c>
      <c r="E76" s="58">
        <f>D76/C76*100</f>
        <v>100</v>
      </c>
      <c r="F76" s="37"/>
    </row>
    <row r="77" spans="1:12" x14ac:dyDescent="0.2">
      <c r="A77" s="496" t="s">
        <v>207</v>
      </c>
      <c r="B77" s="494">
        <v>0</v>
      </c>
      <c r="C77" s="497">
        <v>245576</v>
      </c>
      <c r="D77" s="497">
        <v>245576</v>
      </c>
      <c r="E77" s="495">
        <f t="shared" ref="E77" si="4">D77/C77*100</f>
        <v>100</v>
      </c>
      <c r="F77" s="94">
        <v>1001</v>
      </c>
      <c r="G77" s="120" t="s">
        <v>141</v>
      </c>
    </row>
    <row r="78" spans="1:12" x14ac:dyDescent="0.2">
      <c r="A78" s="234" t="s">
        <v>484</v>
      </c>
      <c r="B78" s="230">
        <v>0</v>
      </c>
      <c r="C78" s="230">
        <v>986150</v>
      </c>
      <c r="D78" s="230">
        <v>986150</v>
      </c>
      <c r="E78" s="232">
        <f t="shared" ref="E78:E130" si="5">D78/C78*100</f>
        <v>100</v>
      </c>
      <c r="F78" s="94">
        <v>1017</v>
      </c>
      <c r="G78" s="120" t="s">
        <v>141</v>
      </c>
    </row>
    <row r="79" spans="1:12" x14ac:dyDescent="0.2">
      <c r="A79" s="234" t="s">
        <v>208</v>
      </c>
      <c r="B79" s="230">
        <v>0</v>
      </c>
      <c r="C79" s="230">
        <v>920000</v>
      </c>
      <c r="D79" s="230">
        <v>920000</v>
      </c>
      <c r="E79" s="232">
        <f t="shared" si="5"/>
        <v>100</v>
      </c>
      <c r="F79" s="94">
        <v>1033</v>
      </c>
      <c r="G79" s="120" t="s">
        <v>141</v>
      </c>
    </row>
    <row r="80" spans="1:12" x14ac:dyDescent="0.2">
      <c r="A80" s="234" t="s">
        <v>368</v>
      </c>
      <c r="B80" s="230">
        <v>0</v>
      </c>
      <c r="C80" s="230">
        <v>455287</v>
      </c>
      <c r="D80" s="230">
        <v>455287</v>
      </c>
      <c r="E80" s="232">
        <f t="shared" si="5"/>
        <v>100</v>
      </c>
      <c r="F80" s="94">
        <v>1034</v>
      </c>
      <c r="G80" s="120" t="s">
        <v>141</v>
      </c>
    </row>
    <row r="81" spans="1:7" x14ac:dyDescent="0.2">
      <c r="A81" s="234" t="s">
        <v>369</v>
      </c>
      <c r="B81" s="230">
        <v>0</v>
      </c>
      <c r="C81" s="230">
        <v>168000</v>
      </c>
      <c r="D81" s="230">
        <v>168000</v>
      </c>
      <c r="E81" s="232">
        <f t="shared" si="5"/>
        <v>100</v>
      </c>
      <c r="F81" s="94">
        <v>1102</v>
      </c>
      <c r="G81" s="120" t="s">
        <v>141</v>
      </c>
    </row>
    <row r="82" spans="1:7" x14ac:dyDescent="0.2">
      <c r="A82" s="234" t="s">
        <v>210</v>
      </c>
      <c r="B82" s="230">
        <v>0</v>
      </c>
      <c r="C82" s="230">
        <v>216325</v>
      </c>
      <c r="D82" s="230">
        <v>216325</v>
      </c>
      <c r="E82" s="232">
        <f t="shared" si="5"/>
        <v>100</v>
      </c>
      <c r="F82" s="94">
        <v>1104</v>
      </c>
      <c r="G82" s="120" t="s">
        <v>141</v>
      </c>
    </row>
    <row r="83" spans="1:7" x14ac:dyDescent="0.2">
      <c r="A83" s="234" t="s">
        <v>211</v>
      </c>
      <c r="B83" s="230">
        <v>0</v>
      </c>
      <c r="C83" s="230">
        <v>602125</v>
      </c>
      <c r="D83" s="230">
        <v>602125</v>
      </c>
      <c r="E83" s="232">
        <f t="shared" si="5"/>
        <v>100</v>
      </c>
      <c r="F83" s="94">
        <v>1105</v>
      </c>
      <c r="G83" s="120" t="s">
        <v>141</v>
      </c>
    </row>
    <row r="84" spans="1:7" x14ac:dyDescent="0.2">
      <c r="A84" s="234" t="s">
        <v>371</v>
      </c>
      <c r="B84" s="230">
        <v>0</v>
      </c>
      <c r="C84" s="230">
        <v>297616</v>
      </c>
      <c r="D84" s="230">
        <v>297616</v>
      </c>
      <c r="E84" s="232">
        <f t="shared" si="5"/>
        <v>100</v>
      </c>
      <c r="F84" s="94">
        <v>1106</v>
      </c>
      <c r="G84" s="120" t="s">
        <v>141</v>
      </c>
    </row>
    <row r="85" spans="1:7" x14ac:dyDescent="0.2">
      <c r="A85" s="234" t="s">
        <v>372</v>
      </c>
      <c r="B85" s="230">
        <v>0</v>
      </c>
      <c r="C85" s="230">
        <v>310000</v>
      </c>
      <c r="D85" s="230">
        <v>310000</v>
      </c>
      <c r="E85" s="232">
        <f t="shared" si="5"/>
        <v>100</v>
      </c>
      <c r="F85" s="94">
        <v>1108</v>
      </c>
      <c r="G85" s="120" t="s">
        <v>141</v>
      </c>
    </row>
    <row r="86" spans="1:7" x14ac:dyDescent="0.2">
      <c r="A86" s="234" t="s">
        <v>485</v>
      </c>
      <c r="B86" s="230">
        <v>0</v>
      </c>
      <c r="C86" s="230">
        <v>189725</v>
      </c>
      <c r="D86" s="230">
        <v>189725</v>
      </c>
      <c r="E86" s="232">
        <f t="shared" si="5"/>
        <v>100</v>
      </c>
      <c r="F86" s="94">
        <v>1130</v>
      </c>
      <c r="G86" s="120" t="s">
        <v>141</v>
      </c>
    </row>
    <row r="87" spans="1:7" x14ac:dyDescent="0.2">
      <c r="A87" s="234" t="s">
        <v>373</v>
      </c>
      <c r="B87" s="230">
        <v>0</v>
      </c>
      <c r="C87" s="230">
        <v>73205</v>
      </c>
      <c r="D87" s="230">
        <v>73205</v>
      </c>
      <c r="E87" s="232">
        <f t="shared" si="5"/>
        <v>100</v>
      </c>
      <c r="F87" s="94">
        <v>1131</v>
      </c>
      <c r="G87" s="120" t="s">
        <v>141</v>
      </c>
    </row>
    <row r="88" spans="1:7" x14ac:dyDescent="0.2">
      <c r="A88" s="234" t="s">
        <v>217</v>
      </c>
      <c r="B88" s="230">
        <v>0</v>
      </c>
      <c r="C88" s="230">
        <v>486627</v>
      </c>
      <c r="D88" s="230">
        <v>486627</v>
      </c>
      <c r="E88" s="232">
        <f t="shared" si="5"/>
        <v>100</v>
      </c>
      <c r="F88" s="94">
        <v>1132</v>
      </c>
      <c r="G88" s="120" t="s">
        <v>141</v>
      </c>
    </row>
    <row r="89" spans="1:7" x14ac:dyDescent="0.2">
      <c r="A89" s="234" t="s">
        <v>212</v>
      </c>
      <c r="B89" s="230">
        <v>0</v>
      </c>
      <c r="C89" s="230">
        <v>450000</v>
      </c>
      <c r="D89" s="230">
        <v>450000</v>
      </c>
      <c r="E89" s="232">
        <f t="shared" si="5"/>
        <v>100</v>
      </c>
      <c r="F89" s="94">
        <v>1134</v>
      </c>
      <c r="G89" s="120" t="s">
        <v>141</v>
      </c>
    </row>
    <row r="90" spans="1:7" ht="25.5" x14ac:dyDescent="0.2">
      <c r="A90" s="234" t="s">
        <v>374</v>
      </c>
      <c r="B90" s="230">
        <v>0</v>
      </c>
      <c r="C90" s="230">
        <v>2940899.15</v>
      </c>
      <c r="D90" s="230">
        <v>2940899.15</v>
      </c>
      <c r="E90" s="232">
        <f t="shared" si="5"/>
        <v>100</v>
      </c>
      <c r="F90" s="94">
        <v>1137</v>
      </c>
      <c r="G90" s="120" t="s">
        <v>141</v>
      </c>
    </row>
    <row r="91" spans="1:7" x14ac:dyDescent="0.2">
      <c r="A91" s="234" t="s">
        <v>218</v>
      </c>
      <c r="B91" s="230">
        <v>0</v>
      </c>
      <c r="C91" s="230">
        <v>4651410.3600000003</v>
      </c>
      <c r="D91" s="230">
        <v>4651410.3600000003</v>
      </c>
      <c r="E91" s="232">
        <f t="shared" si="5"/>
        <v>100</v>
      </c>
      <c r="F91" s="94">
        <v>1138</v>
      </c>
      <c r="G91" s="120" t="s">
        <v>141</v>
      </c>
    </row>
    <row r="92" spans="1:7" x14ac:dyDescent="0.2">
      <c r="A92" s="234" t="s">
        <v>375</v>
      </c>
      <c r="B92" s="230">
        <v>0</v>
      </c>
      <c r="C92" s="230">
        <v>573655</v>
      </c>
      <c r="D92" s="230">
        <v>573655</v>
      </c>
      <c r="E92" s="232">
        <f t="shared" si="5"/>
        <v>100</v>
      </c>
      <c r="F92" s="94">
        <v>1150</v>
      </c>
      <c r="G92" s="120" t="s">
        <v>141</v>
      </c>
    </row>
    <row r="93" spans="1:7" ht="25.5" x14ac:dyDescent="0.2">
      <c r="A93" s="234" t="s">
        <v>221</v>
      </c>
      <c r="B93" s="230">
        <v>0</v>
      </c>
      <c r="C93" s="230">
        <v>200000</v>
      </c>
      <c r="D93" s="230">
        <v>200000</v>
      </c>
      <c r="E93" s="232">
        <f t="shared" si="5"/>
        <v>100</v>
      </c>
      <c r="F93" s="94">
        <v>1160</v>
      </c>
      <c r="G93" s="120" t="s">
        <v>141</v>
      </c>
    </row>
    <row r="94" spans="1:7" x14ac:dyDescent="0.2">
      <c r="A94" s="234" t="s">
        <v>486</v>
      </c>
      <c r="B94" s="230">
        <v>0</v>
      </c>
      <c r="C94" s="230">
        <v>481167.91</v>
      </c>
      <c r="D94" s="230">
        <v>481167.91</v>
      </c>
      <c r="E94" s="232">
        <f t="shared" si="5"/>
        <v>100</v>
      </c>
      <c r="F94" s="94">
        <v>1162</v>
      </c>
      <c r="G94" s="120" t="s">
        <v>141</v>
      </c>
    </row>
    <row r="95" spans="1:7" x14ac:dyDescent="0.2">
      <c r="A95" s="234" t="s">
        <v>487</v>
      </c>
      <c r="B95" s="230">
        <v>0</v>
      </c>
      <c r="C95" s="230">
        <v>149677</v>
      </c>
      <c r="D95" s="230">
        <v>149677</v>
      </c>
      <c r="E95" s="232">
        <f t="shared" si="5"/>
        <v>100</v>
      </c>
      <c r="F95" s="94">
        <v>1205</v>
      </c>
      <c r="G95" s="120" t="s">
        <v>141</v>
      </c>
    </row>
    <row r="96" spans="1:7" x14ac:dyDescent="0.2">
      <c r="A96" s="234" t="s">
        <v>223</v>
      </c>
      <c r="B96" s="230">
        <v>0</v>
      </c>
      <c r="C96" s="230">
        <v>525580.49</v>
      </c>
      <c r="D96" s="230">
        <v>525580.49</v>
      </c>
      <c r="E96" s="232">
        <f t="shared" si="5"/>
        <v>100</v>
      </c>
      <c r="F96" s="94">
        <v>1206</v>
      </c>
      <c r="G96" s="120" t="s">
        <v>141</v>
      </c>
    </row>
    <row r="97" spans="1:7" x14ac:dyDescent="0.2">
      <c r="A97" s="234" t="s">
        <v>224</v>
      </c>
      <c r="B97" s="230">
        <v>0</v>
      </c>
      <c r="C97" s="230">
        <v>453546</v>
      </c>
      <c r="D97" s="230">
        <v>453546</v>
      </c>
      <c r="E97" s="232">
        <f t="shared" si="5"/>
        <v>100</v>
      </c>
      <c r="F97" s="94">
        <v>1208</v>
      </c>
      <c r="G97" s="120" t="s">
        <v>141</v>
      </c>
    </row>
    <row r="98" spans="1:7" x14ac:dyDescent="0.2">
      <c r="A98" s="234" t="s">
        <v>488</v>
      </c>
      <c r="B98" s="230">
        <v>0</v>
      </c>
      <c r="C98" s="230">
        <v>247863</v>
      </c>
      <c r="D98" s="230">
        <v>247863</v>
      </c>
      <c r="E98" s="232">
        <f t="shared" si="5"/>
        <v>100</v>
      </c>
      <c r="F98" s="94">
        <v>1218</v>
      </c>
      <c r="G98" s="120" t="s">
        <v>141</v>
      </c>
    </row>
    <row r="99" spans="1:7" x14ac:dyDescent="0.2">
      <c r="A99" s="234" t="s">
        <v>214</v>
      </c>
      <c r="B99" s="230">
        <v>0</v>
      </c>
      <c r="C99" s="230">
        <v>189970</v>
      </c>
      <c r="D99" s="230">
        <v>189970</v>
      </c>
      <c r="E99" s="232">
        <f t="shared" si="5"/>
        <v>100</v>
      </c>
      <c r="F99" s="94">
        <v>1223</v>
      </c>
      <c r="G99" s="120" t="s">
        <v>141</v>
      </c>
    </row>
    <row r="100" spans="1:7" x14ac:dyDescent="0.2">
      <c r="A100" s="234" t="s">
        <v>225</v>
      </c>
      <c r="B100" s="230">
        <v>0</v>
      </c>
      <c r="C100" s="230">
        <v>250000</v>
      </c>
      <c r="D100" s="230">
        <v>250000</v>
      </c>
      <c r="E100" s="232">
        <f t="shared" si="5"/>
        <v>100</v>
      </c>
      <c r="F100" s="94">
        <v>1226</v>
      </c>
      <c r="G100" s="120" t="s">
        <v>141</v>
      </c>
    </row>
    <row r="101" spans="1:7" x14ac:dyDescent="0.2">
      <c r="A101" s="234" t="s">
        <v>379</v>
      </c>
      <c r="B101" s="230">
        <v>0</v>
      </c>
      <c r="C101" s="230">
        <v>190000</v>
      </c>
      <c r="D101" s="230">
        <v>190000</v>
      </c>
      <c r="E101" s="232">
        <f t="shared" si="5"/>
        <v>100</v>
      </c>
      <c r="F101" s="94">
        <v>1300</v>
      </c>
      <c r="G101" s="120" t="s">
        <v>141</v>
      </c>
    </row>
    <row r="102" spans="1:7" x14ac:dyDescent="0.2">
      <c r="A102" s="234" t="s">
        <v>380</v>
      </c>
      <c r="B102" s="230">
        <v>0</v>
      </c>
      <c r="C102" s="230">
        <v>518831</v>
      </c>
      <c r="D102" s="230">
        <v>518831</v>
      </c>
      <c r="E102" s="232">
        <f t="shared" si="5"/>
        <v>100</v>
      </c>
      <c r="F102" s="94">
        <v>1400</v>
      </c>
      <c r="G102" s="120" t="s">
        <v>141</v>
      </c>
    </row>
    <row r="103" spans="1:7" x14ac:dyDescent="0.2">
      <c r="A103" s="234" t="s">
        <v>489</v>
      </c>
      <c r="B103" s="230">
        <v>0</v>
      </c>
      <c r="C103" s="230">
        <v>90000</v>
      </c>
      <c r="D103" s="230">
        <v>90000</v>
      </c>
      <c r="E103" s="232">
        <f t="shared" si="5"/>
        <v>100</v>
      </c>
      <c r="F103" s="94">
        <v>1404</v>
      </c>
      <c r="G103" s="120" t="s">
        <v>141</v>
      </c>
    </row>
    <row r="104" spans="1:7" x14ac:dyDescent="0.2">
      <c r="A104" s="234" t="s">
        <v>490</v>
      </c>
      <c r="B104" s="230">
        <v>0</v>
      </c>
      <c r="C104" s="230">
        <v>159154.23000000001</v>
      </c>
      <c r="D104" s="230">
        <v>159154.23000000001</v>
      </c>
      <c r="E104" s="232">
        <f t="shared" si="5"/>
        <v>100</v>
      </c>
      <c r="F104" s="94">
        <v>1405</v>
      </c>
      <c r="G104" s="120" t="s">
        <v>141</v>
      </c>
    </row>
    <row r="105" spans="1:7" x14ac:dyDescent="0.2">
      <c r="A105" s="496" t="s">
        <v>491</v>
      </c>
      <c r="B105" s="230">
        <v>0</v>
      </c>
      <c r="C105" s="230">
        <v>50890</v>
      </c>
      <c r="D105" s="230">
        <v>50890</v>
      </c>
      <c r="E105" s="232">
        <f t="shared" si="5"/>
        <v>100</v>
      </c>
      <c r="F105" s="94">
        <v>1026</v>
      </c>
      <c r="G105" s="120" t="s">
        <v>143</v>
      </c>
    </row>
    <row r="106" spans="1:7" x14ac:dyDescent="0.2">
      <c r="A106" s="496" t="s">
        <v>208</v>
      </c>
      <c r="B106" s="230">
        <v>0</v>
      </c>
      <c r="C106" s="230">
        <v>460000</v>
      </c>
      <c r="D106" s="230">
        <v>460000</v>
      </c>
      <c r="E106" s="232">
        <f t="shared" si="5"/>
        <v>100</v>
      </c>
      <c r="F106" s="94">
        <v>1033</v>
      </c>
      <c r="G106" s="120" t="s">
        <v>143</v>
      </c>
    </row>
    <row r="107" spans="1:7" x14ac:dyDescent="0.2">
      <c r="A107" s="496" t="s">
        <v>377</v>
      </c>
      <c r="B107" s="230">
        <v>0</v>
      </c>
      <c r="C107" s="230">
        <v>423201</v>
      </c>
      <c r="D107" s="230">
        <v>423201</v>
      </c>
      <c r="E107" s="232">
        <f t="shared" si="5"/>
        <v>100</v>
      </c>
      <c r="F107" s="94">
        <v>1038</v>
      </c>
      <c r="G107" s="120" t="s">
        <v>143</v>
      </c>
    </row>
    <row r="108" spans="1:7" x14ac:dyDescent="0.2">
      <c r="A108" s="496" t="s">
        <v>209</v>
      </c>
      <c r="B108" s="230">
        <v>0</v>
      </c>
      <c r="C108" s="230">
        <v>849107.6</v>
      </c>
      <c r="D108" s="230">
        <v>849107.6</v>
      </c>
      <c r="E108" s="232">
        <f t="shared" si="5"/>
        <v>100</v>
      </c>
      <c r="F108" s="94">
        <v>1043</v>
      </c>
      <c r="G108" s="120" t="s">
        <v>143</v>
      </c>
    </row>
    <row r="109" spans="1:7" x14ac:dyDescent="0.2">
      <c r="A109" s="234" t="s">
        <v>370</v>
      </c>
      <c r="B109" s="230">
        <v>0</v>
      </c>
      <c r="C109" s="230">
        <v>435649.12</v>
      </c>
      <c r="D109" s="230">
        <v>435649.12</v>
      </c>
      <c r="E109" s="232">
        <f t="shared" si="5"/>
        <v>100</v>
      </c>
      <c r="F109" s="94">
        <v>1103</v>
      </c>
      <c r="G109" s="120" t="s">
        <v>143</v>
      </c>
    </row>
    <row r="110" spans="1:7" x14ac:dyDescent="0.2">
      <c r="A110" s="234" t="s">
        <v>371</v>
      </c>
      <c r="B110" s="230">
        <v>0</v>
      </c>
      <c r="C110" s="230">
        <v>1047316.85</v>
      </c>
      <c r="D110" s="230">
        <v>1047316.85</v>
      </c>
      <c r="E110" s="232">
        <f t="shared" si="5"/>
        <v>100</v>
      </c>
      <c r="F110" s="94">
        <v>1106</v>
      </c>
      <c r="G110" s="120" t="s">
        <v>143</v>
      </c>
    </row>
    <row r="111" spans="1:7" x14ac:dyDescent="0.2">
      <c r="A111" s="234" t="s">
        <v>372</v>
      </c>
      <c r="B111" s="230">
        <v>0</v>
      </c>
      <c r="C111" s="230">
        <v>160000</v>
      </c>
      <c r="D111" s="230">
        <v>160000</v>
      </c>
      <c r="E111" s="232">
        <f t="shared" si="5"/>
        <v>100</v>
      </c>
      <c r="F111" s="94">
        <v>1108</v>
      </c>
      <c r="G111" s="120" t="s">
        <v>143</v>
      </c>
    </row>
    <row r="112" spans="1:7" x14ac:dyDescent="0.2">
      <c r="A112" s="234" t="s">
        <v>215</v>
      </c>
      <c r="B112" s="230">
        <v>0</v>
      </c>
      <c r="C112" s="230">
        <v>2960000</v>
      </c>
      <c r="D112" s="230">
        <v>2960000</v>
      </c>
      <c r="E112" s="232">
        <f t="shared" si="5"/>
        <v>100</v>
      </c>
      <c r="F112" s="94">
        <v>1121</v>
      </c>
      <c r="G112" s="120" t="s">
        <v>143</v>
      </c>
    </row>
    <row r="113" spans="1:7" x14ac:dyDescent="0.2">
      <c r="A113" s="234" t="s">
        <v>290</v>
      </c>
      <c r="B113" s="230">
        <v>0</v>
      </c>
      <c r="C113" s="230">
        <v>774611.85</v>
      </c>
      <c r="D113" s="230">
        <v>774611.85</v>
      </c>
      <c r="E113" s="232">
        <f t="shared" si="5"/>
        <v>100</v>
      </c>
      <c r="F113" s="94">
        <v>1123</v>
      </c>
      <c r="G113" s="120" t="s">
        <v>143</v>
      </c>
    </row>
    <row r="114" spans="1:7" x14ac:dyDescent="0.2">
      <c r="A114" s="234" t="s">
        <v>216</v>
      </c>
      <c r="B114" s="230">
        <v>0</v>
      </c>
      <c r="C114" s="230">
        <v>537119</v>
      </c>
      <c r="D114" s="230">
        <v>537119</v>
      </c>
      <c r="E114" s="232">
        <f t="shared" si="5"/>
        <v>100</v>
      </c>
      <c r="F114" s="94">
        <v>1127</v>
      </c>
      <c r="G114" s="120" t="s">
        <v>143</v>
      </c>
    </row>
    <row r="115" spans="1:7" x14ac:dyDescent="0.2">
      <c r="A115" s="234" t="s">
        <v>217</v>
      </c>
      <c r="B115" s="230">
        <v>0</v>
      </c>
      <c r="C115" s="230">
        <v>200000</v>
      </c>
      <c r="D115" s="230">
        <v>200000</v>
      </c>
      <c r="E115" s="232">
        <f t="shared" si="5"/>
        <v>100</v>
      </c>
      <c r="F115" s="94">
        <v>1132</v>
      </c>
      <c r="G115" s="120" t="s">
        <v>143</v>
      </c>
    </row>
    <row r="116" spans="1:7" x14ac:dyDescent="0.2">
      <c r="A116" s="234" t="s">
        <v>212</v>
      </c>
      <c r="B116" s="230">
        <v>0</v>
      </c>
      <c r="C116" s="230">
        <v>4869743.0599999996</v>
      </c>
      <c r="D116" s="230">
        <v>4869743.0599999996</v>
      </c>
      <c r="E116" s="232">
        <f t="shared" si="5"/>
        <v>100</v>
      </c>
      <c r="F116" s="94">
        <v>1134</v>
      </c>
      <c r="G116" s="120" t="s">
        <v>143</v>
      </c>
    </row>
    <row r="117" spans="1:7" ht="25.5" x14ac:dyDescent="0.2">
      <c r="A117" s="234" t="s">
        <v>374</v>
      </c>
      <c r="B117" s="230">
        <v>0</v>
      </c>
      <c r="C117" s="230">
        <v>212537</v>
      </c>
      <c r="D117" s="230">
        <v>212537</v>
      </c>
      <c r="E117" s="232">
        <f t="shared" si="5"/>
        <v>100</v>
      </c>
      <c r="F117" s="94">
        <v>1137</v>
      </c>
      <c r="G117" s="120" t="s">
        <v>143</v>
      </c>
    </row>
    <row r="118" spans="1:7" x14ac:dyDescent="0.2">
      <c r="A118" s="234" t="s">
        <v>219</v>
      </c>
      <c r="B118" s="230">
        <v>0</v>
      </c>
      <c r="C118" s="230">
        <v>400000</v>
      </c>
      <c r="D118" s="230">
        <v>400000</v>
      </c>
      <c r="E118" s="232">
        <f t="shared" si="5"/>
        <v>100</v>
      </c>
      <c r="F118" s="94">
        <v>1140</v>
      </c>
      <c r="G118" s="120" t="s">
        <v>143</v>
      </c>
    </row>
    <row r="119" spans="1:7" x14ac:dyDescent="0.2">
      <c r="A119" s="234" t="s">
        <v>492</v>
      </c>
      <c r="B119" s="230">
        <v>0</v>
      </c>
      <c r="C119" s="230">
        <v>84216</v>
      </c>
      <c r="D119" s="230">
        <v>84216</v>
      </c>
      <c r="E119" s="232">
        <f t="shared" si="5"/>
        <v>100</v>
      </c>
      <c r="F119" s="94">
        <v>1142</v>
      </c>
      <c r="G119" s="120" t="s">
        <v>143</v>
      </c>
    </row>
    <row r="120" spans="1:7" x14ac:dyDescent="0.2">
      <c r="A120" s="234" t="s">
        <v>375</v>
      </c>
      <c r="B120" s="230">
        <v>0</v>
      </c>
      <c r="C120" s="230">
        <v>388380</v>
      </c>
      <c r="D120" s="230">
        <v>388380</v>
      </c>
      <c r="E120" s="232">
        <f t="shared" si="5"/>
        <v>100</v>
      </c>
      <c r="F120" s="94">
        <v>1150</v>
      </c>
      <c r="G120" s="120" t="s">
        <v>143</v>
      </c>
    </row>
    <row r="121" spans="1:7" ht="25.5" x14ac:dyDescent="0.2">
      <c r="A121" s="234" t="s">
        <v>221</v>
      </c>
      <c r="B121" s="230">
        <v>0</v>
      </c>
      <c r="C121" s="230">
        <v>67300</v>
      </c>
      <c r="D121" s="230">
        <v>67300</v>
      </c>
      <c r="E121" s="232">
        <f t="shared" si="5"/>
        <v>100</v>
      </c>
      <c r="F121" s="94">
        <v>1160</v>
      </c>
      <c r="G121" s="120" t="s">
        <v>143</v>
      </c>
    </row>
    <row r="122" spans="1:7" x14ac:dyDescent="0.2">
      <c r="A122" s="234" t="s">
        <v>493</v>
      </c>
      <c r="B122" s="230">
        <v>0</v>
      </c>
      <c r="C122" s="230">
        <v>447000</v>
      </c>
      <c r="D122" s="230">
        <v>447000</v>
      </c>
      <c r="E122" s="232">
        <f t="shared" si="5"/>
        <v>100</v>
      </c>
      <c r="F122" s="94">
        <v>1173</v>
      </c>
      <c r="G122" s="120" t="s">
        <v>143</v>
      </c>
    </row>
    <row r="123" spans="1:7" x14ac:dyDescent="0.2">
      <c r="A123" s="519" t="s">
        <v>378</v>
      </c>
      <c r="B123" s="520">
        <v>0</v>
      </c>
      <c r="C123" s="520">
        <v>1179490.46</v>
      </c>
      <c r="D123" s="520">
        <v>1179490.46</v>
      </c>
      <c r="E123" s="521">
        <f t="shared" si="5"/>
        <v>100</v>
      </c>
      <c r="F123" s="94">
        <v>1200</v>
      </c>
      <c r="G123" s="120" t="s">
        <v>143</v>
      </c>
    </row>
    <row r="124" spans="1:7" x14ac:dyDescent="0.2">
      <c r="A124" s="519" t="s">
        <v>213</v>
      </c>
      <c r="B124" s="520">
        <v>0</v>
      </c>
      <c r="C124" s="520">
        <v>967493.01</v>
      </c>
      <c r="D124" s="520">
        <v>967493.01</v>
      </c>
      <c r="E124" s="521">
        <f t="shared" si="5"/>
        <v>100</v>
      </c>
      <c r="F124" s="94">
        <v>1202</v>
      </c>
      <c r="G124" s="120" t="s">
        <v>143</v>
      </c>
    </row>
    <row r="125" spans="1:7" x14ac:dyDescent="0.2">
      <c r="A125" s="234" t="s">
        <v>224</v>
      </c>
      <c r="B125" s="230">
        <v>0</v>
      </c>
      <c r="C125" s="230">
        <v>1626322.22</v>
      </c>
      <c r="D125" s="230">
        <v>1626322.22</v>
      </c>
      <c r="E125" s="232">
        <f t="shared" si="5"/>
        <v>100</v>
      </c>
      <c r="F125" s="94">
        <v>1208</v>
      </c>
      <c r="G125" s="120" t="s">
        <v>143</v>
      </c>
    </row>
    <row r="126" spans="1:7" x14ac:dyDescent="0.2">
      <c r="A126" s="234" t="s">
        <v>214</v>
      </c>
      <c r="B126" s="230">
        <v>0</v>
      </c>
      <c r="C126" s="230">
        <v>212355</v>
      </c>
      <c r="D126" s="230">
        <v>212355</v>
      </c>
      <c r="E126" s="232">
        <f t="shared" si="5"/>
        <v>100</v>
      </c>
      <c r="F126" s="94">
        <v>1223</v>
      </c>
      <c r="G126" s="120" t="s">
        <v>143</v>
      </c>
    </row>
    <row r="127" spans="1:7" x14ac:dyDescent="0.2">
      <c r="A127" s="234" t="s">
        <v>225</v>
      </c>
      <c r="B127" s="230">
        <v>0</v>
      </c>
      <c r="C127" s="230">
        <v>578163.41</v>
      </c>
      <c r="D127" s="230">
        <v>578163.41</v>
      </c>
      <c r="E127" s="232">
        <f t="shared" si="5"/>
        <v>100</v>
      </c>
      <c r="F127" s="94">
        <v>1226</v>
      </c>
      <c r="G127" s="120" t="s">
        <v>143</v>
      </c>
    </row>
    <row r="128" spans="1:7" x14ac:dyDescent="0.2">
      <c r="A128" s="519" t="s">
        <v>379</v>
      </c>
      <c r="B128" s="520">
        <v>0</v>
      </c>
      <c r="C128" s="520">
        <v>363460</v>
      </c>
      <c r="D128" s="520">
        <v>363460</v>
      </c>
      <c r="E128" s="521">
        <f t="shared" si="5"/>
        <v>100</v>
      </c>
      <c r="F128" s="94">
        <v>1300</v>
      </c>
      <c r="G128" s="120" t="s">
        <v>143</v>
      </c>
    </row>
    <row r="129" spans="1:12" x14ac:dyDescent="0.2">
      <c r="A129" s="519" t="s">
        <v>380</v>
      </c>
      <c r="B129" s="520">
        <v>0</v>
      </c>
      <c r="C129" s="520">
        <v>67034</v>
      </c>
      <c r="D129" s="520">
        <v>67034</v>
      </c>
      <c r="E129" s="521">
        <f t="shared" si="5"/>
        <v>100</v>
      </c>
      <c r="F129" s="94">
        <v>1400</v>
      </c>
      <c r="G129" s="120" t="s">
        <v>143</v>
      </c>
    </row>
    <row r="130" spans="1:12" ht="13.5" thickBot="1" x14ac:dyDescent="0.25">
      <c r="A130" s="235" t="s">
        <v>376</v>
      </c>
      <c r="B130" s="433">
        <v>0</v>
      </c>
      <c r="C130" s="433">
        <v>774611.85</v>
      </c>
      <c r="D130" s="433">
        <v>774611.85</v>
      </c>
      <c r="E130" s="237">
        <f t="shared" si="5"/>
        <v>100</v>
      </c>
      <c r="F130" s="94">
        <v>1403</v>
      </c>
      <c r="G130" s="120" t="s">
        <v>143</v>
      </c>
    </row>
    <row r="131" spans="1:12" s="60" customFormat="1" ht="13.5" thickTop="1" x14ac:dyDescent="0.2">
      <c r="A131" s="155"/>
      <c r="B131" s="113"/>
      <c r="C131" s="113"/>
      <c r="D131" s="113"/>
      <c r="E131" s="52"/>
      <c r="F131" s="83"/>
      <c r="G131" s="120"/>
      <c r="H131" s="59"/>
    </row>
    <row r="132" spans="1:12" ht="15" customHeight="1" thickBot="1" x14ac:dyDescent="0.3">
      <c r="A132" s="39" t="s">
        <v>157</v>
      </c>
      <c r="B132" s="32"/>
      <c r="E132" s="40" t="s">
        <v>18</v>
      </c>
      <c r="F132" s="5"/>
      <c r="G132" s="97"/>
    </row>
    <row r="133" spans="1:12" ht="14.25" thickTop="1" thickBot="1" x14ac:dyDescent="0.25">
      <c r="A133" s="41" t="s">
        <v>5</v>
      </c>
      <c r="B133" s="42" t="s">
        <v>0</v>
      </c>
      <c r="C133" s="43" t="s">
        <v>1</v>
      </c>
      <c r="D133" s="44" t="s">
        <v>4</v>
      </c>
      <c r="E133" s="45" t="s">
        <v>6</v>
      </c>
      <c r="F133" s="5"/>
      <c r="G133" s="97"/>
    </row>
    <row r="134" spans="1:12" s="80" customFormat="1" ht="15.75" thickTop="1" x14ac:dyDescent="0.2">
      <c r="A134" s="46" t="s">
        <v>7</v>
      </c>
      <c r="B134" s="47">
        <f>SUM(B135:B135)</f>
        <v>0</v>
      </c>
      <c r="C134" s="47">
        <f>SUM(C135:C135)</f>
        <v>30000</v>
      </c>
      <c r="D134" s="47">
        <f>SUM(D135:D135)</f>
        <v>12330</v>
      </c>
      <c r="E134" s="78">
        <f>D134/C134*100</f>
        <v>41.099999999999994</v>
      </c>
      <c r="F134" s="79" t="s">
        <v>2</v>
      </c>
      <c r="G134" s="145" t="s">
        <v>35</v>
      </c>
    </row>
    <row r="135" spans="1:12" s="80" customFormat="1" ht="13.5" thickBot="1" x14ac:dyDescent="0.25">
      <c r="A135" s="176" t="s">
        <v>421</v>
      </c>
      <c r="B135" s="134">
        <v>0</v>
      </c>
      <c r="C135" s="136">
        <v>30000</v>
      </c>
      <c r="D135" s="134">
        <v>12330</v>
      </c>
      <c r="E135" s="135">
        <f t="shared" ref="E135" si="6">D135/C135*100</f>
        <v>41.099999999999994</v>
      </c>
      <c r="F135" s="119"/>
      <c r="G135" s="98"/>
      <c r="I135" s="126" t="s">
        <v>35</v>
      </c>
      <c r="J135" s="127">
        <f>B134</f>
        <v>0</v>
      </c>
      <c r="K135" s="127">
        <f>C134</f>
        <v>30000</v>
      </c>
      <c r="L135" s="127">
        <f>D134</f>
        <v>12330</v>
      </c>
    </row>
    <row r="136" spans="1:12" s="80" customFormat="1" ht="13.5" thickTop="1" x14ac:dyDescent="0.2">
      <c r="A136" s="112"/>
      <c r="B136" s="113"/>
      <c r="C136" s="51"/>
      <c r="D136" s="113"/>
      <c r="E136" s="52"/>
      <c r="F136" s="114"/>
      <c r="G136" s="98"/>
      <c r="I136" s="115" t="s">
        <v>32</v>
      </c>
      <c r="J136" s="124">
        <f>SUM(B8:B72)</f>
        <v>135941000</v>
      </c>
      <c r="K136" s="124">
        <f t="shared" ref="K136:L136" si="7">SUM(C8:C72)</f>
        <v>202756243.04999998</v>
      </c>
      <c r="L136" s="124">
        <f t="shared" si="7"/>
        <v>189137755.53</v>
      </c>
    </row>
    <row r="137" spans="1:12" s="80" customFormat="1" x14ac:dyDescent="0.2">
      <c r="A137" s="112"/>
      <c r="B137" s="113"/>
      <c r="C137" s="51"/>
      <c r="D137" s="113"/>
      <c r="E137" s="52"/>
      <c r="F137" s="114"/>
      <c r="G137" s="98"/>
      <c r="H137" s="120"/>
      <c r="I137" s="188" t="s">
        <v>34</v>
      </c>
      <c r="J137" s="189">
        <f>SUM(B77:B130)</f>
        <v>0</v>
      </c>
      <c r="K137" s="189">
        <f>SUM(C77:C130)</f>
        <v>37158391.570000008</v>
      </c>
      <c r="L137" s="189">
        <f>SUM(D77:D130)</f>
        <v>37158391.570000008</v>
      </c>
    </row>
    <row r="138" spans="1:12" s="6" customFormat="1" ht="18.75" thickBot="1" x14ac:dyDescent="0.3">
      <c r="A138" s="62" t="s">
        <v>20</v>
      </c>
      <c r="B138" s="473">
        <f>SUM(B76,B7,B134)</f>
        <v>135941000</v>
      </c>
      <c r="C138" s="473">
        <f>SUM(C76,C7,C134)</f>
        <v>239944634.62</v>
      </c>
      <c r="D138" s="473">
        <f>SUM(D76,D7,D134)</f>
        <v>226308477.10000002</v>
      </c>
      <c r="E138" s="64">
        <f>D138/C138*100</f>
        <v>94.316956683946884</v>
      </c>
      <c r="F138" s="106"/>
      <c r="G138" s="65"/>
      <c r="H138" s="65"/>
      <c r="I138" s="80"/>
      <c r="J138" s="123">
        <f>J137+J136+J135</f>
        <v>135941000</v>
      </c>
      <c r="K138" s="123">
        <f t="shared" ref="K138:L138" si="8">K137+K136+K135</f>
        <v>239944634.62</v>
      </c>
      <c r="L138" s="123">
        <f t="shared" si="8"/>
        <v>226308477.10000002</v>
      </c>
    </row>
    <row r="139" spans="1:12" ht="13.5" thickTop="1" x14ac:dyDescent="0.2">
      <c r="A139" s="61"/>
      <c r="B139" s="113"/>
      <c r="C139" s="55"/>
      <c r="D139" s="50"/>
      <c r="E139" s="52"/>
      <c r="F139" s="37"/>
    </row>
    <row r="140" spans="1:12" x14ac:dyDescent="0.2">
      <c r="A140" s="61"/>
      <c r="B140" s="113"/>
      <c r="C140" s="55"/>
      <c r="D140" s="50"/>
      <c r="E140" s="52"/>
      <c r="F140" s="37"/>
    </row>
    <row r="141" spans="1:12" ht="18" x14ac:dyDescent="0.25">
      <c r="A141" s="36" t="s">
        <v>28</v>
      </c>
      <c r="B141" s="32"/>
    </row>
    <row r="142" spans="1:12" ht="15" customHeight="1" thickBot="1" x14ac:dyDescent="0.3">
      <c r="A142" s="39" t="s">
        <v>101</v>
      </c>
      <c r="B142" s="32"/>
      <c r="E142" s="40" t="s">
        <v>18</v>
      </c>
    </row>
    <row r="143" spans="1:12" ht="14.25" thickTop="1" thickBot="1" x14ac:dyDescent="0.25">
      <c r="A143" s="41" t="s">
        <v>5</v>
      </c>
      <c r="B143" s="42" t="s">
        <v>0</v>
      </c>
      <c r="C143" s="43" t="s">
        <v>1</v>
      </c>
      <c r="D143" s="44" t="s">
        <v>4</v>
      </c>
      <c r="E143" s="45" t="s">
        <v>6</v>
      </c>
    </row>
    <row r="144" spans="1:12" ht="15.75" thickTop="1" x14ac:dyDescent="0.25">
      <c r="A144" s="46" t="s">
        <v>9</v>
      </c>
      <c r="B144" s="47">
        <f>SUM(B145:B178)</f>
        <v>209009000</v>
      </c>
      <c r="C144" s="47">
        <f t="shared" ref="C144:D144" si="9">SUM(C145:C178)</f>
        <v>116027289.02</v>
      </c>
      <c r="D144" s="47">
        <f t="shared" si="9"/>
        <v>102439716.40000001</v>
      </c>
      <c r="E144" s="48">
        <f>D144/C144*100</f>
        <v>88.289330264660535</v>
      </c>
      <c r="F144" s="84"/>
    </row>
    <row r="145" spans="1:8" s="35" customFormat="1" ht="12.75" customHeight="1" x14ac:dyDescent="0.2">
      <c r="A145" s="239" t="s">
        <v>78</v>
      </c>
      <c r="B145" s="238">
        <v>200000</v>
      </c>
      <c r="C145" s="231">
        <v>200000</v>
      </c>
      <c r="D145" s="233">
        <v>179846.6</v>
      </c>
      <c r="E145" s="232">
        <f t="shared" ref="E145:E178" si="10">D145/C145*100</f>
        <v>89.923300000000012</v>
      </c>
      <c r="F145" s="116" t="s">
        <v>44</v>
      </c>
      <c r="G145" s="115" t="s">
        <v>32</v>
      </c>
      <c r="H145" s="30"/>
    </row>
    <row r="146" spans="1:8" s="35" customFormat="1" x14ac:dyDescent="0.2">
      <c r="A146" s="239" t="s">
        <v>79</v>
      </c>
      <c r="B146" s="238">
        <v>57039000</v>
      </c>
      <c r="C146" s="231">
        <v>28403349.870000001</v>
      </c>
      <c r="D146" s="233">
        <v>27138921.800000001</v>
      </c>
      <c r="E146" s="232">
        <f t="shared" si="10"/>
        <v>95.548313576436612</v>
      </c>
      <c r="F146" s="116" t="s">
        <v>71</v>
      </c>
      <c r="G146" s="115" t="s">
        <v>32</v>
      </c>
      <c r="H146" s="30"/>
    </row>
    <row r="147" spans="1:8" s="35" customFormat="1" x14ac:dyDescent="0.2">
      <c r="A147" s="239" t="s">
        <v>438</v>
      </c>
      <c r="B147" s="238">
        <v>0</v>
      </c>
      <c r="C147" s="231">
        <v>256353</v>
      </c>
      <c r="D147" s="233">
        <v>127977.69</v>
      </c>
      <c r="E147" s="232">
        <f t="shared" si="10"/>
        <v>49.922446782366507</v>
      </c>
      <c r="F147" s="116" t="s">
        <v>389</v>
      </c>
      <c r="G147" s="115" t="s">
        <v>32</v>
      </c>
      <c r="H147" s="30"/>
    </row>
    <row r="148" spans="1:8" s="35" customFormat="1" x14ac:dyDescent="0.2">
      <c r="A148" s="239" t="s">
        <v>439</v>
      </c>
      <c r="B148" s="238">
        <v>0</v>
      </c>
      <c r="C148" s="231">
        <v>49000</v>
      </c>
      <c r="D148" s="233">
        <v>44196.08</v>
      </c>
      <c r="E148" s="232">
        <f t="shared" si="10"/>
        <v>90.196081632653062</v>
      </c>
      <c r="F148" s="116" t="s">
        <v>390</v>
      </c>
      <c r="G148" s="115" t="s">
        <v>32</v>
      </c>
      <c r="H148" s="30"/>
    </row>
    <row r="149" spans="1:8" s="35" customFormat="1" ht="25.5" x14ac:dyDescent="0.2">
      <c r="A149" s="239" t="s">
        <v>337</v>
      </c>
      <c r="B149" s="238">
        <v>22485000</v>
      </c>
      <c r="C149" s="231">
        <v>73576.350000000006</v>
      </c>
      <c r="D149" s="233">
        <v>73576.350000000006</v>
      </c>
      <c r="E149" s="232">
        <f t="shared" si="10"/>
        <v>100</v>
      </c>
      <c r="F149" s="116" t="s">
        <v>292</v>
      </c>
      <c r="G149" s="115" t="s">
        <v>32</v>
      </c>
      <c r="H149" s="30"/>
    </row>
    <row r="150" spans="1:8" s="35" customFormat="1" x14ac:dyDescent="0.2">
      <c r="A150" s="239" t="s">
        <v>106</v>
      </c>
      <c r="B150" s="238">
        <v>30000000</v>
      </c>
      <c r="C150" s="231">
        <v>583400</v>
      </c>
      <c r="D150" s="233">
        <v>213355</v>
      </c>
      <c r="E150" s="232">
        <f t="shared" si="10"/>
        <v>36.570963318477887</v>
      </c>
      <c r="F150" s="116" t="s">
        <v>98</v>
      </c>
      <c r="G150" s="115" t="s">
        <v>32</v>
      </c>
      <c r="H150" s="31"/>
    </row>
    <row r="151" spans="1:8" s="35" customFormat="1" x14ac:dyDescent="0.2">
      <c r="A151" s="239" t="s">
        <v>107</v>
      </c>
      <c r="B151" s="238">
        <v>300000</v>
      </c>
      <c r="C151" s="231">
        <v>300000</v>
      </c>
      <c r="D151" s="233">
        <v>84000</v>
      </c>
      <c r="E151" s="232">
        <f t="shared" si="10"/>
        <v>28.000000000000004</v>
      </c>
      <c r="F151" s="116" t="s">
        <v>99</v>
      </c>
      <c r="G151" s="115" t="s">
        <v>32</v>
      </c>
      <c r="H151" s="31"/>
    </row>
    <row r="152" spans="1:8" s="35" customFormat="1" x14ac:dyDescent="0.2">
      <c r="A152" s="239" t="s">
        <v>108</v>
      </c>
      <c r="B152" s="238">
        <v>500000</v>
      </c>
      <c r="C152" s="231">
        <v>785000</v>
      </c>
      <c r="D152" s="233">
        <v>695942</v>
      </c>
      <c r="E152" s="232">
        <f t="shared" si="10"/>
        <v>88.655031847133756</v>
      </c>
      <c r="F152" s="116" t="s">
        <v>100</v>
      </c>
      <c r="G152" s="115" t="s">
        <v>32</v>
      </c>
      <c r="H152" s="31"/>
    </row>
    <row r="153" spans="1:8" s="35" customFormat="1" ht="25.5" x14ac:dyDescent="0.2">
      <c r="A153" s="239" t="s">
        <v>440</v>
      </c>
      <c r="B153" s="238">
        <v>0</v>
      </c>
      <c r="C153" s="231">
        <v>76230</v>
      </c>
      <c r="D153" s="233">
        <v>76230</v>
      </c>
      <c r="E153" s="232">
        <f t="shared" si="10"/>
        <v>100</v>
      </c>
      <c r="F153" s="116" t="s">
        <v>391</v>
      </c>
      <c r="G153" s="115" t="s">
        <v>32</v>
      </c>
      <c r="H153" s="31"/>
    </row>
    <row r="154" spans="1:8" s="35" customFormat="1" ht="25.5" x14ac:dyDescent="0.2">
      <c r="A154" s="239" t="s">
        <v>194</v>
      </c>
      <c r="B154" s="230">
        <v>5265000</v>
      </c>
      <c r="C154" s="233">
        <v>7064706.9199999999</v>
      </c>
      <c r="D154" s="233">
        <v>7064706.9199999999</v>
      </c>
      <c r="E154" s="232">
        <f t="shared" si="10"/>
        <v>100</v>
      </c>
      <c r="F154" s="117" t="s">
        <v>170</v>
      </c>
      <c r="G154" s="141" t="s">
        <v>32</v>
      </c>
      <c r="H154" s="31"/>
    </row>
    <row r="155" spans="1:8" s="35" customFormat="1" ht="25.5" x14ac:dyDescent="0.2">
      <c r="A155" s="239" t="s">
        <v>441</v>
      </c>
      <c r="B155" s="230">
        <v>0</v>
      </c>
      <c r="C155" s="233">
        <v>93862</v>
      </c>
      <c r="D155" s="233">
        <v>93862</v>
      </c>
      <c r="E155" s="232">
        <f t="shared" si="10"/>
        <v>100</v>
      </c>
      <c r="F155" s="117" t="s">
        <v>392</v>
      </c>
      <c r="G155" s="141" t="s">
        <v>32</v>
      </c>
      <c r="H155" s="31"/>
    </row>
    <row r="156" spans="1:8" s="35" customFormat="1" x14ac:dyDescent="0.2">
      <c r="A156" s="239" t="s">
        <v>442</v>
      </c>
      <c r="B156" s="230">
        <v>500000</v>
      </c>
      <c r="C156" s="233">
        <v>0</v>
      </c>
      <c r="D156" s="233">
        <v>0</v>
      </c>
      <c r="E156" s="232">
        <v>0</v>
      </c>
      <c r="F156" s="117" t="s">
        <v>393</v>
      </c>
      <c r="G156" s="141" t="s">
        <v>32</v>
      </c>
      <c r="H156" s="31"/>
    </row>
    <row r="157" spans="1:8" s="35" customFormat="1" ht="25.5" x14ac:dyDescent="0.2">
      <c r="A157" s="234" t="s">
        <v>195</v>
      </c>
      <c r="B157" s="230">
        <v>0</v>
      </c>
      <c r="C157" s="233">
        <v>2000</v>
      </c>
      <c r="D157" s="233">
        <v>2000</v>
      </c>
      <c r="E157" s="232">
        <f t="shared" si="10"/>
        <v>100</v>
      </c>
      <c r="F157" s="117" t="s">
        <v>171</v>
      </c>
      <c r="G157" s="141" t="s">
        <v>32</v>
      </c>
      <c r="H157" s="31"/>
    </row>
    <row r="158" spans="1:8" s="35" customFormat="1" x14ac:dyDescent="0.2">
      <c r="A158" s="239" t="s">
        <v>196</v>
      </c>
      <c r="B158" s="230">
        <v>250000</v>
      </c>
      <c r="C158" s="233">
        <v>0</v>
      </c>
      <c r="D158" s="233">
        <v>0</v>
      </c>
      <c r="E158" s="232">
        <v>0</v>
      </c>
      <c r="F158" s="117" t="s">
        <v>172</v>
      </c>
      <c r="G158" s="141" t="s">
        <v>32</v>
      </c>
      <c r="H158" s="31"/>
    </row>
    <row r="159" spans="1:8" s="35" customFormat="1" ht="25.5" x14ac:dyDescent="0.2">
      <c r="A159" s="239" t="s">
        <v>197</v>
      </c>
      <c r="B159" s="230">
        <v>17000000</v>
      </c>
      <c r="C159" s="233">
        <v>11896210</v>
      </c>
      <c r="D159" s="233">
        <v>10353069.220000001</v>
      </c>
      <c r="E159" s="232">
        <f t="shared" si="10"/>
        <v>87.028299096939293</v>
      </c>
      <c r="F159" s="117" t="s">
        <v>173</v>
      </c>
      <c r="G159" s="141" t="s">
        <v>32</v>
      </c>
      <c r="H159" s="31"/>
    </row>
    <row r="160" spans="1:8" s="35" customFormat="1" ht="25.5" x14ac:dyDescent="0.2">
      <c r="A160" s="239" t="s">
        <v>198</v>
      </c>
      <c r="B160" s="230">
        <v>17092000</v>
      </c>
      <c r="C160" s="233">
        <v>12930510.789999999</v>
      </c>
      <c r="D160" s="233">
        <v>12930510.789999999</v>
      </c>
      <c r="E160" s="232">
        <f t="shared" si="10"/>
        <v>100</v>
      </c>
      <c r="F160" s="117" t="s">
        <v>174</v>
      </c>
      <c r="G160" s="141" t="s">
        <v>32</v>
      </c>
      <c r="H160" s="31"/>
    </row>
    <row r="161" spans="1:8" s="35" customFormat="1" ht="25.5" x14ac:dyDescent="0.2">
      <c r="A161" s="239" t="s">
        <v>199</v>
      </c>
      <c r="B161" s="230">
        <v>2245000</v>
      </c>
      <c r="C161" s="233">
        <v>1374984.45</v>
      </c>
      <c r="D161" s="233">
        <v>1316848.55</v>
      </c>
      <c r="E161" s="232">
        <f t="shared" si="10"/>
        <v>95.771886729337197</v>
      </c>
      <c r="F161" s="117" t="s">
        <v>175</v>
      </c>
      <c r="G161" s="141" t="s">
        <v>32</v>
      </c>
      <c r="H161" s="31"/>
    </row>
    <row r="162" spans="1:8" s="35" customFormat="1" ht="25.5" x14ac:dyDescent="0.2">
      <c r="A162" s="239" t="s">
        <v>200</v>
      </c>
      <c r="B162" s="230">
        <v>500000</v>
      </c>
      <c r="C162" s="233">
        <v>604430</v>
      </c>
      <c r="D162" s="233">
        <v>604430</v>
      </c>
      <c r="E162" s="232">
        <f t="shared" si="10"/>
        <v>100</v>
      </c>
      <c r="F162" s="117" t="s">
        <v>176</v>
      </c>
      <c r="G162" s="141" t="s">
        <v>32</v>
      </c>
      <c r="H162" s="31"/>
    </row>
    <row r="163" spans="1:8" s="35" customFormat="1" ht="25.5" x14ac:dyDescent="0.2">
      <c r="A163" s="239" t="s">
        <v>385</v>
      </c>
      <c r="B163" s="230">
        <v>27265000</v>
      </c>
      <c r="C163" s="233">
        <v>22868297.649999999</v>
      </c>
      <c r="D163" s="233">
        <v>15559322.279999999</v>
      </c>
      <c r="E163" s="232">
        <f t="shared" si="10"/>
        <v>68.038830516096596</v>
      </c>
      <c r="F163" s="117" t="s">
        <v>293</v>
      </c>
      <c r="G163" s="141" t="s">
        <v>32</v>
      </c>
      <c r="H163" s="31"/>
    </row>
    <row r="164" spans="1:8" s="35" customFormat="1" ht="25.5" x14ac:dyDescent="0.2">
      <c r="A164" s="239" t="s">
        <v>201</v>
      </c>
      <c r="B164" s="230">
        <v>1400000</v>
      </c>
      <c r="C164" s="233">
        <v>630000</v>
      </c>
      <c r="D164" s="233">
        <v>615087</v>
      </c>
      <c r="E164" s="232">
        <f t="shared" si="10"/>
        <v>97.632857142857148</v>
      </c>
      <c r="F164" s="117" t="s">
        <v>177</v>
      </c>
      <c r="G164" s="141" t="s">
        <v>32</v>
      </c>
      <c r="H164" s="31"/>
    </row>
    <row r="165" spans="1:8" s="35" customFormat="1" ht="25.5" x14ac:dyDescent="0.2">
      <c r="A165" s="239" t="s">
        <v>202</v>
      </c>
      <c r="B165" s="230">
        <v>2000000</v>
      </c>
      <c r="C165" s="233">
        <v>0</v>
      </c>
      <c r="D165" s="233">
        <v>0</v>
      </c>
      <c r="E165" s="232">
        <v>0</v>
      </c>
      <c r="F165" s="117" t="s">
        <v>178</v>
      </c>
      <c r="G165" s="141" t="s">
        <v>32</v>
      </c>
      <c r="H165" s="31"/>
    </row>
    <row r="166" spans="1:8" s="35" customFormat="1" ht="25.5" x14ac:dyDescent="0.2">
      <c r="A166" s="234" t="s">
        <v>384</v>
      </c>
      <c r="B166" s="230">
        <v>13934000</v>
      </c>
      <c r="C166" s="233">
        <v>14459987.49</v>
      </c>
      <c r="D166" s="233">
        <v>14459987.4</v>
      </c>
      <c r="E166" s="232">
        <f t="shared" si="10"/>
        <v>99.999999377592815</v>
      </c>
      <c r="F166" s="117" t="s">
        <v>383</v>
      </c>
      <c r="G166" s="141" t="s">
        <v>32</v>
      </c>
      <c r="H166" s="31"/>
    </row>
    <row r="167" spans="1:8" s="35" customFormat="1" x14ac:dyDescent="0.2">
      <c r="A167" s="239" t="s">
        <v>338</v>
      </c>
      <c r="B167" s="230">
        <v>1330000</v>
      </c>
      <c r="C167" s="233">
        <v>1314508.5</v>
      </c>
      <c r="D167" s="233">
        <v>1314508.5</v>
      </c>
      <c r="E167" s="232">
        <f t="shared" si="10"/>
        <v>100</v>
      </c>
      <c r="F167" s="117" t="s">
        <v>294</v>
      </c>
      <c r="G167" s="141" t="s">
        <v>32</v>
      </c>
      <c r="H167" s="31"/>
    </row>
    <row r="168" spans="1:8" s="35" customFormat="1" x14ac:dyDescent="0.2">
      <c r="A168" s="239" t="s">
        <v>339</v>
      </c>
      <c r="B168" s="230">
        <v>1500000</v>
      </c>
      <c r="C168" s="233">
        <v>1500000</v>
      </c>
      <c r="D168" s="233">
        <v>13500</v>
      </c>
      <c r="E168" s="232">
        <f t="shared" si="10"/>
        <v>0.89999999999999991</v>
      </c>
      <c r="F168" s="117" t="s">
        <v>295</v>
      </c>
      <c r="G168" s="141" t="s">
        <v>32</v>
      </c>
      <c r="H168" s="31"/>
    </row>
    <row r="169" spans="1:8" s="35" customFormat="1" x14ac:dyDescent="0.2">
      <c r="A169" s="239" t="s">
        <v>340</v>
      </c>
      <c r="B169" s="230">
        <v>4580000</v>
      </c>
      <c r="C169" s="233">
        <v>5077000</v>
      </c>
      <c r="D169" s="233">
        <v>4983366.2300000004</v>
      </c>
      <c r="E169" s="232">
        <f t="shared" si="10"/>
        <v>98.155726413236181</v>
      </c>
      <c r="F169" s="117" t="s">
        <v>296</v>
      </c>
      <c r="G169" s="141" t="s">
        <v>32</v>
      </c>
      <c r="H169" s="31"/>
    </row>
    <row r="170" spans="1:8" s="35" customFormat="1" x14ac:dyDescent="0.2">
      <c r="A170" s="239" t="s">
        <v>341</v>
      </c>
      <c r="B170" s="230">
        <v>178000</v>
      </c>
      <c r="C170" s="233">
        <v>392420</v>
      </c>
      <c r="D170" s="233">
        <v>182870</v>
      </c>
      <c r="E170" s="232">
        <f t="shared" si="10"/>
        <v>46.600581010142193</v>
      </c>
      <c r="F170" s="117" t="s">
        <v>297</v>
      </c>
      <c r="G170" s="141" t="s">
        <v>32</v>
      </c>
      <c r="H170" s="31"/>
    </row>
    <row r="171" spans="1:8" s="35" customFormat="1" x14ac:dyDescent="0.2">
      <c r="A171" s="239" t="s">
        <v>342</v>
      </c>
      <c r="B171" s="230">
        <v>1100000</v>
      </c>
      <c r="C171" s="233">
        <v>3100500</v>
      </c>
      <c r="D171" s="233">
        <v>3100154.83</v>
      </c>
      <c r="E171" s="232">
        <f t="shared" si="10"/>
        <v>99.988867279471066</v>
      </c>
      <c r="F171" s="117" t="s">
        <v>298</v>
      </c>
      <c r="G171" s="141" t="s">
        <v>32</v>
      </c>
      <c r="H171" s="31"/>
    </row>
    <row r="172" spans="1:8" s="35" customFormat="1" x14ac:dyDescent="0.2">
      <c r="A172" s="239" t="s">
        <v>343</v>
      </c>
      <c r="B172" s="230">
        <v>29000</v>
      </c>
      <c r="C172" s="233">
        <v>43560</v>
      </c>
      <c r="D172" s="233">
        <v>25410</v>
      </c>
      <c r="E172" s="232">
        <f t="shared" si="10"/>
        <v>58.333333333333336</v>
      </c>
      <c r="F172" s="117" t="s">
        <v>299</v>
      </c>
      <c r="G172" s="141" t="s">
        <v>32</v>
      </c>
      <c r="H172" s="31"/>
    </row>
    <row r="173" spans="1:8" s="35" customFormat="1" ht="25.5" x14ac:dyDescent="0.2">
      <c r="A173" s="239" t="s">
        <v>344</v>
      </c>
      <c r="B173" s="230">
        <v>17000</v>
      </c>
      <c r="C173" s="233">
        <v>16698</v>
      </c>
      <c r="D173" s="233">
        <v>16698</v>
      </c>
      <c r="E173" s="232">
        <f t="shared" si="10"/>
        <v>100</v>
      </c>
      <c r="F173" s="117" t="s">
        <v>300</v>
      </c>
      <c r="G173" s="141" t="s">
        <v>32</v>
      </c>
      <c r="H173" s="31"/>
    </row>
    <row r="174" spans="1:8" s="35" customFormat="1" x14ac:dyDescent="0.2">
      <c r="A174" s="239" t="s">
        <v>345</v>
      </c>
      <c r="B174" s="230">
        <v>800000</v>
      </c>
      <c r="C174" s="233">
        <v>892895.3</v>
      </c>
      <c r="D174" s="233">
        <v>307940.15999999997</v>
      </c>
      <c r="E174" s="232">
        <f t="shared" si="10"/>
        <v>34.48782404835147</v>
      </c>
      <c r="F174" s="117" t="s">
        <v>301</v>
      </c>
      <c r="G174" s="141" t="s">
        <v>32</v>
      </c>
      <c r="H174" s="31"/>
    </row>
    <row r="175" spans="1:8" s="35" customFormat="1" x14ac:dyDescent="0.2">
      <c r="A175" s="239" t="s">
        <v>346</v>
      </c>
      <c r="B175" s="230">
        <v>1500000</v>
      </c>
      <c r="C175" s="233">
        <v>307104.7</v>
      </c>
      <c r="D175" s="233">
        <v>232199</v>
      </c>
      <c r="E175" s="232">
        <f t="shared" si="10"/>
        <v>75.609067526482008</v>
      </c>
      <c r="F175" s="117" t="s">
        <v>302</v>
      </c>
      <c r="G175" s="141" t="s">
        <v>32</v>
      </c>
      <c r="H175" s="31"/>
    </row>
    <row r="176" spans="1:8" s="35" customFormat="1" x14ac:dyDescent="0.2">
      <c r="A176" s="581" t="s">
        <v>443</v>
      </c>
      <c r="B176" s="520">
        <v>0</v>
      </c>
      <c r="C176" s="582">
        <v>220704</v>
      </c>
      <c r="D176" s="582">
        <v>185856</v>
      </c>
      <c r="E176" s="521">
        <f t="shared" si="10"/>
        <v>84.210526315789465</v>
      </c>
      <c r="F176" s="117" t="s">
        <v>394</v>
      </c>
      <c r="G176" s="141" t="s">
        <v>32</v>
      </c>
      <c r="H176" s="31"/>
    </row>
    <row r="177" spans="1:8" s="35" customFormat="1" x14ac:dyDescent="0.2">
      <c r="A177" s="581" t="s">
        <v>444</v>
      </c>
      <c r="B177" s="520">
        <v>0</v>
      </c>
      <c r="C177" s="582">
        <v>110000</v>
      </c>
      <c r="D177" s="582">
        <v>62920</v>
      </c>
      <c r="E177" s="521">
        <f t="shared" si="10"/>
        <v>57.199999999999996</v>
      </c>
      <c r="F177" s="117" t="s">
        <v>395</v>
      </c>
      <c r="G177" s="141" t="s">
        <v>32</v>
      </c>
      <c r="H177" s="31"/>
    </row>
    <row r="178" spans="1:8" s="35" customFormat="1" ht="13.5" thickBot="1" x14ac:dyDescent="0.25">
      <c r="A178" s="240" t="s">
        <v>445</v>
      </c>
      <c r="B178" s="433">
        <v>0</v>
      </c>
      <c r="C178" s="236">
        <v>400000</v>
      </c>
      <c r="D178" s="236">
        <v>380424</v>
      </c>
      <c r="E178" s="237">
        <f t="shared" si="10"/>
        <v>95.105999999999995</v>
      </c>
      <c r="F178" s="117" t="s">
        <v>396</v>
      </c>
      <c r="G178" s="141" t="s">
        <v>32</v>
      </c>
      <c r="H178" s="31"/>
    </row>
    <row r="179" spans="1:8" s="54" customFormat="1" ht="15.75" thickTop="1" x14ac:dyDescent="0.25">
      <c r="A179" s="39"/>
      <c r="B179" s="32"/>
      <c r="C179" s="5"/>
      <c r="D179" s="3"/>
      <c r="E179" s="40"/>
      <c r="F179" s="89"/>
      <c r="G179" s="53"/>
      <c r="H179" s="53"/>
    </row>
    <row r="180" spans="1:8" s="54" customFormat="1" ht="15.75" thickBot="1" x14ac:dyDescent="0.25">
      <c r="A180" s="57" t="s">
        <v>29</v>
      </c>
      <c r="B180" s="32"/>
      <c r="C180" s="5"/>
      <c r="D180" s="5"/>
      <c r="E180" s="40" t="s">
        <v>18</v>
      </c>
      <c r="F180" s="89"/>
      <c r="G180" s="53"/>
      <c r="H180" s="53"/>
    </row>
    <row r="181" spans="1:8" s="54" customFormat="1" ht="14.25" thickTop="1" thickBot="1" x14ac:dyDescent="0.25">
      <c r="A181" s="41" t="s">
        <v>5</v>
      </c>
      <c r="B181" s="42" t="s">
        <v>0</v>
      </c>
      <c r="C181" s="43" t="s">
        <v>1</v>
      </c>
      <c r="D181" s="44" t="s">
        <v>4</v>
      </c>
      <c r="E181" s="45" t="s">
        <v>6</v>
      </c>
      <c r="F181" s="89"/>
      <c r="G181" s="53"/>
      <c r="H181" s="53"/>
    </row>
    <row r="182" spans="1:8" s="54" customFormat="1" ht="15.75" thickTop="1" x14ac:dyDescent="0.2">
      <c r="A182" s="153" t="s">
        <v>9</v>
      </c>
      <c r="B182" s="111">
        <f>SUM(B183:B216)</f>
        <v>0</v>
      </c>
      <c r="C182" s="111">
        <f t="shared" ref="C182:D182" si="11">SUM(C183:C216)</f>
        <v>16968740.829999998</v>
      </c>
      <c r="D182" s="111">
        <f t="shared" si="11"/>
        <v>16968740.829999998</v>
      </c>
      <c r="E182" s="154">
        <f>D182/C182*100</f>
        <v>100</v>
      </c>
      <c r="G182" s="120"/>
      <c r="H182" s="53"/>
    </row>
    <row r="183" spans="1:8" s="54" customFormat="1" x14ac:dyDescent="0.2">
      <c r="A183" s="229" t="s">
        <v>227</v>
      </c>
      <c r="B183" s="437">
        <v>0</v>
      </c>
      <c r="C183" s="434">
        <v>492762.23</v>
      </c>
      <c r="D183" s="434">
        <v>492762.23</v>
      </c>
      <c r="E183" s="232">
        <f t="shared" ref="E183:E216" si="12">D183/C183*100</f>
        <v>100</v>
      </c>
      <c r="F183" s="118" t="s">
        <v>88</v>
      </c>
      <c r="G183" s="120" t="s">
        <v>142</v>
      </c>
      <c r="H183" s="53"/>
    </row>
    <row r="184" spans="1:8" s="54" customFormat="1" x14ac:dyDescent="0.2">
      <c r="A184" s="229" t="s">
        <v>228</v>
      </c>
      <c r="B184" s="437">
        <v>0</v>
      </c>
      <c r="C184" s="434">
        <v>667376.80000000005</v>
      </c>
      <c r="D184" s="434">
        <v>667376.80000000005</v>
      </c>
      <c r="E184" s="232">
        <f t="shared" si="12"/>
        <v>100</v>
      </c>
      <c r="F184" s="118" t="s">
        <v>89</v>
      </c>
      <c r="G184" s="120" t="s">
        <v>142</v>
      </c>
      <c r="H184" s="53"/>
    </row>
    <row r="185" spans="1:8" s="54" customFormat="1" x14ac:dyDescent="0.2">
      <c r="A185" s="229" t="s">
        <v>229</v>
      </c>
      <c r="B185" s="437">
        <v>0</v>
      </c>
      <c r="C185" s="434">
        <v>200000</v>
      </c>
      <c r="D185" s="434">
        <v>200000</v>
      </c>
      <c r="E185" s="232">
        <f t="shared" si="12"/>
        <v>100</v>
      </c>
      <c r="F185" s="118" t="s">
        <v>90</v>
      </c>
      <c r="G185" s="120" t="s">
        <v>142</v>
      </c>
      <c r="H185" s="53"/>
    </row>
    <row r="186" spans="1:8" s="54" customFormat="1" x14ac:dyDescent="0.2">
      <c r="A186" s="563" t="s">
        <v>494</v>
      </c>
      <c r="B186" s="437">
        <v>0</v>
      </c>
      <c r="C186" s="434">
        <v>42713</v>
      </c>
      <c r="D186" s="434">
        <v>42713</v>
      </c>
      <c r="E186" s="232">
        <f t="shared" si="12"/>
        <v>100</v>
      </c>
      <c r="F186" s="118" t="s">
        <v>399</v>
      </c>
      <c r="G186" s="120" t="s">
        <v>142</v>
      </c>
      <c r="H186" s="53"/>
    </row>
    <row r="187" spans="1:8" s="54" customFormat="1" x14ac:dyDescent="0.2">
      <c r="A187" s="229" t="s">
        <v>230</v>
      </c>
      <c r="B187" s="437">
        <v>0</v>
      </c>
      <c r="C187" s="434">
        <v>300000</v>
      </c>
      <c r="D187" s="434">
        <v>300000</v>
      </c>
      <c r="E187" s="232">
        <f t="shared" si="12"/>
        <v>100</v>
      </c>
      <c r="F187" s="118" t="s">
        <v>69</v>
      </c>
      <c r="G187" s="120" t="s">
        <v>142</v>
      </c>
      <c r="H187" s="53"/>
    </row>
    <row r="188" spans="1:8" s="54" customFormat="1" x14ac:dyDescent="0.2">
      <c r="A188" s="229" t="s">
        <v>231</v>
      </c>
      <c r="B188" s="437">
        <v>0</v>
      </c>
      <c r="C188" s="434">
        <v>199897</v>
      </c>
      <c r="D188" s="434">
        <v>199897</v>
      </c>
      <c r="E188" s="232">
        <f t="shared" si="12"/>
        <v>100</v>
      </c>
      <c r="F188" s="118" t="s">
        <v>138</v>
      </c>
      <c r="G188" s="120" t="s">
        <v>142</v>
      </c>
      <c r="H188" s="53"/>
    </row>
    <row r="189" spans="1:8" s="54" customFormat="1" x14ac:dyDescent="0.2">
      <c r="A189" s="229" t="s">
        <v>233</v>
      </c>
      <c r="B189" s="437">
        <v>0</v>
      </c>
      <c r="C189" s="434">
        <v>188329</v>
      </c>
      <c r="D189" s="434">
        <v>188329</v>
      </c>
      <c r="E189" s="232">
        <f t="shared" si="12"/>
        <v>100</v>
      </c>
      <c r="F189" s="118" t="s">
        <v>147</v>
      </c>
      <c r="G189" s="120" t="s">
        <v>142</v>
      </c>
      <c r="H189" s="53"/>
    </row>
    <row r="190" spans="1:8" s="54" customFormat="1" x14ac:dyDescent="0.2">
      <c r="A190" s="229" t="s">
        <v>234</v>
      </c>
      <c r="B190" s="437">
        <v>0</v>
      </c>
      <c r="C190" s="434">
        <v>1131000</v>
      </c>
      <c r="D190" s="434">
        <v>1131000</v>
      </c>
      <c r="E190" s="232">
        <f t="shared" si="12"/>
        <v>100</v>
      </c>
      <c r="F190" s="118" t="s">
        <v>70</v>
      </c>
      <c r="G190" s="120" t="s">
        <v>142</v>
      </c>
      <c r="H190" s="53"/>
    </row>
    <row r="191" spans="1:8" s="54" customFormat="1" x14ac:dyDescent="0.2">
      <c r="A191" s="563" t="s">
        <v>235</v>
      </c>
      <c r="B191" s="437">
        <v>0</v>
      </c>
      <c r="C191" s="434">
        <v>282985</v>
      </c>
      <c r="D191" s="434">
        <v>282985</v>
      </c>
      <c r="E191" s="232">
        <f t="shared" si="12"/>
        <v>100</v>
      </c>
      <c r="F191" s="118" t="s">
        <v>91</v>
      </c>
      <c r="G191" s="120" t="s">
        <v>142</v>
      </c>
      <c r="H191" s="53"/>
    </row>
    <row r="192" spans="1:8" s="54" customFormat="1" x14ac:dyDescent="0.2">
      <c r="A192" s="563" t="s">
        <v>242</v>
      </c>
      <c r="B192" s="437">
        <v>0</v>
      </c>
      <c r="C192" s="434">
        <v>352268.82</v>
      </c>
      <c r="D192" s="434">
        <v>352268.82</v>
      </c>
      <c r="E192" s="232">
        <f t="shared" si="12"/>
        <v>100</v>
      </c>
      <c r="F192" s="118" t="s">
        <v>148</v>
      </c>
      <c r="G192" s="120" t="s">
        <v>142</v>
      </c>
      <c r="H192" s="53"/>
    </row>
    <row r="193" spans="1:8" s="54" customFormat="1" ht="13.5" thickBot="1" x14ac:dyDescent="0.25">
      <c r="A193" s="563" t="s">
        <v>243</v>
      </c>
      <c r="B193" s="437">
        <v>0</v>
      </c>
      <c r="C193" s="434">
        <v>123496</v>
      </c>
      <c r="D193" s="434">
        <v>123496</v>
      </c>
      <c r="E193" s="232">
        <f t="shared" si="12"/>
        <v>100</v>
      </c>
      <c r="F193" s="118" t="s">
        <v>92</v>
      </c>
      <c r="G193" s="120" t="s">
        <v>142</v>
      </c>
      <c r="H193" s="53"/>
    </row>
    <row r="194" spans="1:8" s="54" customFormat="1" ht="13.5" thickTop="1" x14ac:dyDescent="0.2">
      <c r="A194" s="193"/>
      <c r="B194" s="194"/>
      <c r="C194" s="194"/>
      <c r="D194" s="194"/>
      <c r="E194" s="192"/>
      <c r="F194" s="118"/>
      <c r="G194" s="120"/>
      <c r="H194" s="53"/>
    </row>
    <row r="195" spans="1:8" s="54" customFormat="1" ht="15.75" thickBot="1" x14ac:dyDescent="0.25">
      <c r="A195" s="180"/>
      <c r="B195" s="472"/>
      <c r="C195" s="9"/>
      <c r="D195" s="9"/>
      <c r="E195" s="181" t="s">
        <v>18</v>
      </c>
      <c r="F195" s="118"/>
      <c r="G195" s="120"/>
      <c r="H195" s="53"/>
    </row>
    <row r="196" spans="1:8" s="54" customFormat="1" ht="14.25" thickTop="1" thickBot="1" x14ac:dyDescent="0.25">
      <c r="A196" s="41" t="s">
        <v>5</v>
      </c>
      <c r="B196" s="42" t="s">
        <v>0</v>
      </c>
      <c r="C196" s="43" t="s">
        <v>1</v>
      </c>
      <c r="D196" s="44" t="s">
        <v>4</v>
      </c>
      <c r="E196" s="45" t="s">
        <v>6</v>
      </c>
      <c r="F196" s="118"/>
      <c r="G196" s="120"/>
      <c r="H196" s="53"/>
    </row>
    <row r="197" spans="1:8" s="54" customFormat="1" ht="13.5" thickTop="1" x14ac:dyDescent="0.2">
      <c r="A197" s="229" t="s">
        <v>238</v>
      </c>
      <c r="B197" s="437">
        <v>0</v>
      </c>
      <c r="C197" s="434">
        <v>578209</v>
      </c>
      <c r="D197" s="434">
        <v>578209</v>
      </c>
      <c r="E197" s="232">
        <f t="shared" si="12"/>
        <v>100</v>
      </c>
      <c r="F197" s="118" t="s">
        <v>179</v>
      </c>
      <c r="G197" s="120" t="s">
        <v>144</v>
      </c>
      <c r="H197" s="53"/>
    </row>
    <row r="198" spans="1:8" s="54" customFormat="1" ht="12.75" customHeight="1" x14ac:dyDescent="0.2">
      <c r="A198" s="229" t="s">
        <v>226</v>
      </c>
      <c r="B198" s="437">
        <v>0</v>
      </c>
      <c r="C198" s="434">
        <v>289200</v>
      </c>
      <c r="D198" s="434">
        <v>289200</v>
      </c>
      <c r="E198" s="232">
        <f t="shared" si="12"/>
        <v>100</v>
      </c>
      <c r="F198" s="118" t="s">
        <v>67</v>
      </c>
      <c r="G198" s="120" t="s">
        <v>144</v>
      </c>
      <c r="H198" s="53"/>
    </row>
    <row r="199" spans="1:8" s="54" customFormat="1" ht="12.75" customHeight="1" x14ac:dyDescent="0.2">
      <c r="A199" s="563" t="s">
        <v>381</v>
      </c>
      <c r="B199" s="437">
        <v>0</v>
      </c>
      <c r="C199" s="434">
        <v>346822.8</v>
      </c>
      <c r="D199" s="434">
        <v>346822.8</v>
      </c>
      <c r="E199" s="232">
        <f t="shared" si="12"/>
        <v>100</v>
      </c>
      <c r="F199" s="118" t="s">
        <v>303</v>
      </c>
      <c r="G199" s="120" t="s">
        <v>144</v>
      </c>
      <c r="H199" s="53"/>
    </row>
    <row r="200" spans="1:8" s="54" customFormat="1" x14ac:dyDescent="0.2">
      <c r="A200" s="229" t="s">
        <v>239</v>
      </c>
      <c r="B200" s="437">
        <v>0</v>
      </c>
      <c r="C200" s="434">
        <v>758638</v>
      </c>
      <c r="D200" s="434">
        <v>758638</v>
      </c>
      <c r="E200" s="232">
        <f t="shared" si="12"/>
        <v>100</v>
      </c>
      <c r="F200" s="118" t="s">
        <v>68</v>
      </c>
      <c r="G200" s="120" t="s">
        <v>144</v>
      </c>
      <c r="H200" s="53"/>
    </row>
    <row r="201" spans="1:8" s="54" customFormat="1" x14ac:dyDescent="0.2">
      <c r="A201" s="229" t="s">
        <v>227</v>
      </c>
      <c r="B201" s="437">
        <v>0</v>
      </c>
      <c r="C201" s="434">
        <v>1098232.9099999999</v>
      </c>
      <c r="D201" s="434">
        <v>1098232.9099999999</v>
      </c>
      <c r="E201" s="232">
        <f t="shared" si="12"/>
        <v>100</v>
      </c>
      <c r="F201" s="118" t="s">
        <v>88</v>
      </c>
      <c r="G201" s="120" t="s">
        <v>144</v>
      </c>
      <c r="H201" s="53"/>
    </row>
    <row r="202" spans="1:8" s="54" customFormat="1" x14ac:dyDescent="0.2">
      <c r="A202" s="229" t="s">
        <v>240</v>
      </c>
      <c r="B202" s="437">
        <v>0</v>
      </c>
      <c r="C202" s="434">
        <v>1695488.33</v>
      </c>
      <c r="D202" s="434">
        <v>1695488.33</v>
      </c>
      <c r="E202" s="232">
        <f t="shared" si="12"/>
        <v>100</v>
      </c>
      <c r="F202" s="118" t="s">
        <v>145</v>
      </c>
      <c r="G202" s="120" t="s">
        <v>144</v>
      </c>
      <c r="H202" s="53"/>
    </row>
    <row r="203" spans="1:8" s="54" customFormat="1" x14ac:dyDescent="0.2">
      <c r="A203" s="563" t="s">
        <v>228</v>
      </c>
      <c r="B203" s="437">
        <v>0</v>
      </c>
      <c r="C203" s="434">
        <v>314092.03999999998</v>
      </c>
      <c r="D203" s="434">
        <v>314092.03999999998</v>
      </c>
      <c r="E203" s="232">
        <f t="shared" si="12"/>
        <v>100</v>
      </c>
      <c r="F203" s="118" t="s">
        <v>89</v>
      </c>
      <c r="G203" s="120" t="s">
        <v>144</v>
      </c>
      <c r="H203" s="53"/>
    </row>
    <row r="204" spans="1:8" s="54" customFormat="1" x14ac:dyDescent="0.2">
      <c r="A204" s="563" t="s">
        <v>229</v>
      </c>
      <c r="B204" s="437">
        <v>0</v>
      </c>
      <c r="C204" s="434">
        <v>665196.32999999996</v>
      </c>
      <c r="D204" s="434">
        <v>665196.32999999996</v>
      </c>
      <c r="E204" s="232">
        <f t="shared" si="12"/>
        <v>100</v>
      </c>
      <c r="F204" s="118" t="s">
        <v>90</v>
      </c>
      <c r="G204" s="120" t="s">
        <v>144</v>
      </c>
      <c r="H204" s="53"/>
    </row>
    <row r="205" spans="1:8" s="54" customFormat="1" x14ac:dyDescent="0.2">
      <c r="A205" s="563" t="s">
        <v>494</v>
      </c>
      <c r="B205" s="437">
        <v>0</v>
      </c>
      <c r="C205" s="434">
        <v>455232.37</v>
      </c>
      <c r="D205" s="434">
        <v>455232.37</v>
      </c>
      <c r="E205" s="232">
        <f t="shared" si="12"/>
        <v>100</v>
      </c>
      <c r="F205" s="118" t="s">
        <v>399</v>
      </c>
      <c r="G205" s="120" t="s">
        <v>144</v>
      </c>
      <c r="H205" s="53"/>
    </row>
    <row r="206" spans="1:8" s="54" customFormat="1" x14ac:dyDescent="0.2">
      <c r="A206" s="229" t="s">
        <v>230</v>
      </c>
      <c r="B206" s="437">
        <v>0</v>
      </c>
      <c r="C206" s="434">
        <v>714071</v>
      </c>
      <c r="D206" s="434">
        <v>714071</v>
      </c>
      <c r="E206" s="232">
        <f t="shared" si="12"/>
        <v>100</v>
      </c>
      <c r="F206" s="118" t="s">
        <v>69</v>
      </c>
      <c r="G206" s="120" t="s">
        <v>144</v>
      </c>
      <c r="H206" s="53"/>
    </row>
    <row r="207" spans="1:8" s="54" customFormat="1" x14ac:dyDescent="0.2">
      <c r="A207" s="229" t="s">
        <v>231</v>
      </c>
      <c r="B207" s="437">
        <v>0</v>
      </c>
      <c r="C207" s="434">
        <v>498773</v>
      </c>
      <c r="D207" s="434">
        <v>498773</v>
      </c>
      <c r="E207" s="232">
        <f t="shared" si="12"/>
        <v>100</v>
      </c>
      <c r="F207" s="118" t="s">
        <v>138</v>
      </c>
      <c r="G207" s="120" t="s">
        <v>144</v>
      </c>
      <c r="H207" s="53"/>
    </row>
    <row r="208" spans="1:8" s="54" customFormat="1" x14ac:dyDescent="0.2">
      <c r="A208" s="229" t="s">
        <v>232</v>
      </c>
      <c r="B208" s="437">
        <v>0</v>
      </c>
      <c r="C208" s="434">
        <v>327750</v>
      </c>
      <c r="D208" s="434">
        <v>327750</v>
      </c>
      <c r="E208" s="232">
        <f t="shared" si="12"/>
        <v>100</v>
      </c>
      <c r="F208" s="118" t="s">
        <v>146</v>
      </c>
      <c r="G208" s="120" t="s">
        <v>144</v>
      </c>
      <c r="H208" s="53"/>
    </row>
    <row r="209" spans="1:12" s="54" customFormat="1" x14ac:dyDescent="0.2">
      <c r="A209" s="229" t="s">
        <v>241</v>
      </c>
      <c r="B209" s="437">
        <v>0</v>
      </c>
      <c r="C209" s="434">
        <v>555976</v>
      </c>
      <c r="D209" s="434">
        <v>555976</v>
      </c>
      <c r="E209" s="232">
        <f t="shared" si="12"/>
        <v>100</v>
      </c>
      <c r="F209" s="118" t="s">
        <v>139</v>
      </c>
      <c r="G209" s="120" t="s">
        <v>144</v>
      </c>
      <c r="H209" s="53"/>
    </row>
    <row r="210" spans="1:12" s="54" customFormat="1" x14ac:dyDescent="0.2">
      <c r="A210" s="229" t="s">
        <v>234</v>
      </c>
      <c r="B210" s="437">
        <v>0</v>
      </c>
      <c r="C210" s="434">
        <v>2419480.2000000002</v>
      </c>
      <c r="D210" s="434">
        <v>2419480.2000000002</v>
      </c>
      <c r="E210" s="232">
        <f t="shared" si="12"/>
        <v>100</v>
      </c>
      <c r="F210" s="118" t="s">
        <v>70</v>
      </c>
      <c r="G210" s="120" t="s">
        <v>144</v>
      </c>
      <c r="H210" s="53"/>
    </row>
    <row r="211" spans="1:12" s="54" customFormat="1" x14ac:dyDescent="0.2">
      <c r="A211" s="229" t="s">
        <v>235</v>
      </c>
      <c r="B211" s="437">
        <v>0</v>
      </c>
      <c r="C211" s="434">
        <v>1169841</v>
      </c>
      <c r="D211" s="434">
        <v>1169841</v>
      </c>
      <c r="E211" s="232">
        <f t="shared" si="12"/>
        <v>100</v>
      </c>
      <c r="F211" s="118" t="s">
        <v>91</v>
      </c>
      <c r="G211" s="120" t="s">
        <v>144</v>
      </c>
      <c r="H211" s="53"/>
    </row>
    <row r="212" spans="1:12" s="54" customFormat="1" x14ac:dyDescent="0.2">
      <c r="A212" s="229" t="s">
        <v>236</v>
      </c>
      <c r="B212" s="437">
        <v>0</v>
      </c>
      <c r="C212" s="434">
        <v>93000</v>
      </c>
      <c r="D212" s="434">
        <v>93000</v>
      </c>
      <c r="E212" s="232">
        <f t="shared" si="12"/>
        <v>100</v>
      </c>
      <c r="F212" s="118" t="s">
        <v>140</v>
      </c>
      <c r="G212" s="120" t="s">
        <v>144</v>
      </c>
      <c r="H212" s="53"/>
    </row>
    <row r="213" spans="1:12" s="54" customFormat="1" x14ac:dyDescent="0.2">
      <c r="A213" s="229" t="s">
        <v>242</v>
      </c>
      <c r="B213" s="437">
        <v>0</v>
      </c>
      <c r="C213" s="434">
        <v>252890</v>
      </c>
      <c r="D213" s="434">
        <v>252890</v>
      </c>
      <c r="E213" s="232">
        <f t="shared" si="12"/>
        <v>100</v>
      </c>
      <c r="F213" s="118" t="s">
        <v>148</v>
      </c>
      <c r="G213" s="120" t="s">
        <v>144</v>
      </c>
      <c r="H213" s="53"/>
    </row>
    <row r="214" spans="1:12" s="54" customFormat="1" x14ac:dyDescent="0.2">
      <c r="A214" s="229" t="s">
        <v>243</v>
      </c>
      <c r="B214" s="437">
        <v>0</v>
      </c>
      <c r="C214" s="434">
        <v>458180</v>
      </c>
      <c r="D214" s="434">
        <v>458180</v>
      </c>
      <c r="E214" s="232">
        <f t="shared" si="12"/>
        <v>100</v>
      </c>
      <c r="F214" s="118" t="s">
        <v>92</v>
      </c>
      <c r="G214" s="120" t="s">
        <v>144</v>
      </c>
      <c r="H214" s="53"/>
    </row>
    <row r="215" spans="1:12" s="54" customFormat="1" x14ac:dyDescent="0.2">
      <c r="A215" s="229" t="s">
        <v>237</v>
      </c>
      <c r="B215" s="437">
        <v>0</v>
      </c>
      <c r="C215" s="434">
        <v>132250</v>
      </c>
      <c r="D215" s="434">
        <v>132250</v>
      </c>
      <c r="E215" s="232">
        <f t="shared" si="12"/>
        <v>100</v>
      </c>
      <c r="F215" s="118" t="s">
        <v>93</v>
      </c>
      <c r="G215" s="120" t="s">
        <v>144</v>
      </c>
      <c r="H215" s="53"/>
    </row>
    <row r="216" spans="1:12" s="54" customFormat="1" ht="13.5" thickBot="1" x14ac:dyDescent="0.25">
      <c r="A216" s="435" t="s">
        <v>244</v>
      </c>
      <c r="B216" s="474">
        <v>0</v>
      </c>
      <c r="C216" s="436">
        <v>164590</v>
      </c>
      <c r="D216" s="436">
        <v>164590</v>
      </c>
      <c r="E216" s="237">
        <f t="shared" si="12"/>
        <v>100</v>
      </c>
      <c r="F216" s="118" t="s">
        <v>94</v>
      </c>
      <c r="G216" s="120" t="s">
        <v>144</v>
      </c>
      <c r="H216" s="53"/>
    </row>
    <row r="217" spans="1:12" s="54" customFormat="1" ht="13.5" thickTop="1" x14ac:dyDescent="0.2">
      <c r="A217" s="186"/>
      <c r="B217" s="187"/>
      <c r="C217" s="187"/>
      <c r="D217" s="187"/>
      <c r="E217" s="52"/>
      <c r="F217" s="118"/>
      <c r="G217" s="120"/>
      <c r="H217" s="53"/>
    </row>
    <row r="218" spans="1:12" s="54" customFormat="1" ht="15.75" thickBot="1" x14ac:dyDescent="0.3">
      <c r="A218" s="39" t="s">
        <v>157</v>
      </c>
      <c r="B218" s="32"/>
      <c r="C218" s="5"/>
      <c r="D218" s="5"/>
      <c r="E218" s="40" t="s">
        <v>18</v>
      </c>
      <c r="F218" s="5"/>
      <c r="G218" s="97"/>
      <c r="H218" s="53"/>
      <c r="I218" s="120"/>
      <c r="J218" s="125"/>
      <c r="K218" s="125"/>
      <c r="L218" s="125"/>
    </row>
    <row r="219" spans="1:12" s="54" customFormat="1" ht="14.25" thickTop="1" thickBot="1" x14ac:dyDescent="0.25">
      <c r="A219" s="41" t="s">
        <v>5</v>
      </c>
      <c r="B219" s="42" t="s">
        <v>0</v>
      </c>
      <c r="C219" s="43" t="s">
        <v>1</v>
      </c>
      <c r="D219" s="44" t="s">
        <v>4</v>
      </c>
      <c r="E219" s="45" t="s">
        <v>6</v>
      </c>
      <c r="F219" s="5"/>
      <c r="G219" s="97"/>
      <c r="H219" s="53"/>
      <c r="I219" s="120"/>
      <c r="J219" s="125"/>
      <c r="K219" s="125"/>
      <c r="L219" s="125"/>
    </row>
    <row r="220" spans="1:12" s="54" customFormat="1" ht="15.75" thickTop="1" x14ac:dyDescent="0.2">
      <c r="A220" s="46" t="s">
        <v>9</v>
      </c>
      <c r="B220" s="47">
        <f>SUM(B221:B221)</f>
        <v>0</v>
      </c>
      <c r="C220" s="47">
        <f>SUM(C221:C221)</f>
        <v>5160000</v>
      </c>
      <c r="D220" s="47">
        <f>SUM(D221:D221)</f>
        <v>4958069</v>
      </c>
      <c r="E220" s="78">
        <f>D220/C220*100</f>
        <v>96.086608527131773</v>
      </c>
      <c r="F220" s="79" t="s">
        <v>2</v>
      </c>
      <c r="G220" s="145" t="s">
        <v>35</v>
      </c>
      <c r="H220" s="53"/>
      <c r="I220" s="120"/>
      <c r="J220" s="125"/>
      <c r="K220" s="125"/>
      <c r="L220" s="125"/>
    </row>
    <row r="221" spans="1:12" s="54" customFormat="1" ht="39" thickBot="1" x14ac:dyDescent="0.25">
      <c r="A221" s="176" t="s">
        <v>420</v>
      </c>
      <c r="B221" s="134">
        <v>0</v>
      </c>
      <c r="C221" s="136">
        <f>4743635+416365</f>
        <v>5160000</v>
      </c>
      <c r="D221" s="134">
        <f>4742113+215956</f>
        <v>4958069</v>
      </c>
      <c r="E221" s="135">
        <f t="shared" ref="E221" si="13">D221/C221*100</f>
        <v>96.086608527131773</v>
      </c>
      <c r="F221" s="119"/>
      <c r="G221" s="98"/>
      <c r="H221" s="53"/>
      <c r="I221" s="126" t="s">
        <v>35</v>
      </c>
      <c r="J221" s="127">
        <f>B220</f>
        <v>0</v>
      </c>
      <c r="K221" s="127">
        <f t="shared" ref="K221:L221" si="14">C220</f>
        <v>5160000</v>
      </c>
      <c r="L221" s="127">
        <f t="shared" si="14"/>
        <v>4958069</v>
      </c>
    </row>
    <row r="222" spans="1:12" s="54" customFormat="1" ht="13.5" thickTop="1" x14ac:dyDescent="0.2">
      <c r="A222" s="186"/>
      <c r="B222" s="187"/>
      <c r="C222" s="187"/>
      <c r="D222" s="187"/>
      <c r="E222" s="52"/>
      <c r="F222" s="118"/>
      <c r="G222" s="120"/>
      <c r="H222" s="53"/>
      <c r="I222" s="141" t="s">
        <v>32</v>
      </c>
      <c r="J222" s="142">
        <f>SUM(B145:B178)</f>
        <v>209009000</v>
      </c>
      <c r="K222" s="142">
        <f>SUM(C145:C178)</f>
        <v>116027289.02</v>
      </c>
      <c r="L222" s="142">
        <f>SUM(D145:D178)</f>
        <v>102439716.40000001</v>
      </c>
    </row>
    <row r="223" spans="1:12" s="54" customFormat="1" x14ac:dyDescent="0.2">
      <c r="A223" s="186"/>
      <c r="B223" s="187"/>
      <c r="C223" s="187"/>
      <c r="D223" s="187"/>
      <c r="E223" s="52"/>
      <c r="F223" s="118"/>
      <c r="G223" s="120"/>
      <c r="H223" s="53"/>
      <c r="I223" s="120" t="s">
        <v>34</v>
      </c>
      <c r="J223" s="125">
        <f>B182</f>
        <v>0</v>
      </c>
      <c r="K223" s="125">
        <f>C182</f>
        <v>16968740.829999998</v>
      </c>
      <c r="L223" s="125">
        <f>D182</f>
        <v>16968740.829999998</v>
      </c>
    </row>
    <row r="224" spans="1:12" s="6" customFormat="1" ht="18.75" thickBot="1" x14ac:dyDescent="0.3">
      <c r="A224" s="62" t="s">
        <v>21</v>
      </c>
      <c r="B224" s="473">
        <f>SUM(B144,B182,B220)</f>
        <v>209009000</v>
      </c>
      <c r="C224" s="473">
        <f t="shared" ref="C224:D224" si="15">SUM(C144,C182,C220)</f>
        <v>138156029.84999999</v>
      </c>
      <c r="D224" s="473">
        <f t="shared" si="15"/>
        <v>124366526.23</v>
      </c>
      <c r="E224" s="64">
        <f>D224/C224*100</f>
        <v>90.018891223950448</v>
      </c>
      <c r="F224" s="29"/>
      <c r="G224" s="65"/>
      <c r="H224" s="65"/>
      <c r="I224" s="145"/>
      <c r="J224" s="123">
        <f>J222+J223+J221</f>
        <v>209009000</v>
      </c>
      <c r="K224" s="123">
        <f t="shared" ref="K224:L224" si="16">K222+K223+K221</f>
        <v>138156029.84999999</v>
      </c>
      <c r="L224" s="123">
        <f t="shared" si="16"/>
        <v>124366526.23</v>
      </c>
    </row>
    <row r="225" spans="1:8" s="7" customFormat="1" ht="13.5" thickTop="1" x14ac:dyDescent="0.2">
      <c r="B225" s="475"/>
      <c r="E225" s="52"/>
      <c r="F225" s="82"/>
      <c r="G225" s="56"/>
      <c r="H225" s="56"/>
    </row>
    <row r="226" spans="1:8" s="7" customFormat="1" x14ac:dyDescent="0.2">
      <c r="B226" s="475"/>
      <c r="E226" s="52"/>
      <c r="F226" s="82"/>
      <c r="G226" s="56"/>
      <c r="H226" s="56"/>
    </row>
    <row r="227" spans="1:8" ht="15" customHeight="1" x14ac:dyDescent="0.25">
      <c r="A227" s="36" t="s">
        <v>56</v>
      </c>
      <c r="B227" s="32"/>
    </row>
    <row r="228" spans="1:8" ht="15" customHeight="1" thickBot="1" x14ac:dyDescent="0.3">
      <c r="A228" s="39" t="s">
        <v>101</v>
      </c>
      <c r="B228" s="32"/>
      <c r="E228" s="40" t="s">
        <v>18</v>
      </c>
    </row>
    <row r="229" spans="1:8" ht="14.25" thickTop="1" thickBot="1" x14ac:dyDescent="0.25">
      <c r="A229" s="41" t="s">
        <v>5</v>
      </c>
      <c r="B229" s="42" t="s">
        <v>0</v>
      </c>
      <c r="C229" s="43" t="s">
        <v>1</v>
      </c>
      <c r="D229" s="44" t="s">
        <v>4</v>
      </c>
      <c r="E229" s="45" t="s">
        <v>6</v>
      </c>
    </row>
    <row r="230" spans="1:8" ht="15.75" thickTop="1" x14ac:dyDescent="0.2">
      <c r="A230" s="153" t="s">
        <v>8</v>
      </c>
      <c r="B230" s="111">
        <f>SUM(B231:B242)</f>
        <v>55956000</v>
      </c>
      <c r="C230" s="111">
        <f>SUM(C231:C242)</f>
        <v>44990123</v>
      </c>
      <c r="D230" s="111">
        <f>SUM(D231:D242)</f>
        <v>38843705.68</v>
      </c>
      <c r="E230" s="154">
        <f>D230/C230*100</f>
        <v>86.33829625226852</v>
      </c>
      <c r="F230" s="37"/>
    </row>
    <row r="231" spans="1:8" x14ac:dyDescent="0.2">
      <c r="A231" s="498" t="s">
        <v>446</v>
      </c>
      <c r="B231" s="494">
        <v>500000</v>
      </c>
      <c r="C231" s="499">
        <v>495570.1</v>
      </c>
      <c r="D231" s="499">
        <v>295000</v>
      </c>
      <c r="E231" s="495">
        <f t="shared" ref="E231:E242" si="17">D231/C231*100</f>
        <v>59.527400866194313</v>
      </c>
      <c r="F231" s="85">
        <v>100418</v>
      </c>
      <c r="G231" s="115" t="s">
        <v>32</v>
      </c>
    </row>
    <row r="232" spans="1:8" s="35" customFormat="1" ht="25.5" x14ac:dyDescent="0.2">
      <c r="A232" s="239" t="s">
        <v>447</v>
      </c>
      <c r="B232" s="230">
        <v>0</v>
      </c>
      <c r="C232" s="437">
        <v>471000</v>
      </c>
      <c r="D232" s="437">
        <v>288706</v>
      </c>
      <c r="E232" s="232">
        <f t="shared" si="17"/>
        <v>61.29639065817409</v>
      </c>
      <c r="F232" s="85">
        <v>100633</v>
      </c>
      <c r="G232" s="115" t="s">
        <v>32</v>
      </c>
      <c r="H232" s="30"/>
    </row>
    <row r="233" spans="1:8" s="35" customFormat="1" x14ac:dyDescent="0.2">
      <c r="A233" s="250" t="s">
        <v>448</v>
      </c>
      <c r="B233" s="439">
        <v>500000</v>
      </c>
      <c r="C233" s="251">
        <v>0</v>
      </c>
      <c r="D233" s="251">
        <v>0</v>
      </c>
      <c r="E233" s="232">
        <v>0</v>
      </c>
      <c r="F233" s="85">
        <v>100636</v>
      </c>
      <c r="G233" s="115" t="s">
        <v>32</v>
      </c>
      <c r="H233" s="30"/>
    </row>
    <row r="234" spans="1:8" s="35" customFormat="1" x14ac:dyDescent="0.2">
      <c r="A234" s="239" t="s">
        <v>449</v>
      </c>
      <c r="B234" s="230">
        <v>0</v>
      </c>
      <c r="C234" s="437">
        <v>645670.65</v>
      </c>
      <c r="D234" s="437">
        <v>645670.65</v>
      </c>
      <c r="E234" s="232">
        <f t="shared" si="17"/>
        <v>100</v>
      </c>
      <c r="F234" s="81">
        <v>100989</v>
      </c>
      <c r="G234" s="141" t="s">
        <v>32</v>
      </c>
      <c r="H234" s="30"/>
    </row>
    <row r="235" spans="1:8" s="35" customFormat="1" x14ac:dyDescent="0.2">
      <c r="A235" s="250" t="s">
        <v>120</v>
      </c>
      <c r="B235" s="439">
        <v>0</v>
      </c>
      <c r="C235" s="251">
        <v>74288</v>
      </c>
      <c r="D235" s="251">
        <v>37108</v>
      </c>
      <c r="E235" s="232">
        <f t="shared" si="17"/>
        <v>49.951539952616841</v>
      </c>
      <c r="F235" s="85">
        <v>101011</v>
      </c>
      <c r="G235" s="115" t="s">
        <v>32</v>
      </c>
      <c r="H235" s="30"/>
    </row>
    <row r="236" spans="1:8" s="35" customFormat="1" ht="25.5" x14ac:dyDescent="0.2">
      <c r="A236" s="239" t="s">
        <v>450</v>
      </c>
      <c r="B236" s="230">
        <v>15956000</v>
      </c>
      <c r="C236" s="437">
        <v>23089490</v>
      </c>
      <c r="D236" s="437">
        <v>19653408.260000002</v>
      </c>
      <c r="E236" s="232">
        <f t="shared" si="17"/>
        <v>85.118416474335305</v>
      </c>
      <c r="F236" s="85">
        <v>101079</v>
      </c>
      <c r="G236" s="115" t="s">
        <v>32</v>
      </c>
      <c r="H236" s="30"/>
    </row>
    <row r="237" spans="1:8" s="35" customFormat="1" x14ac:dyDescent="0.2">
      <c r="A237" s="239" t="s">
        <v>451</v>
      </c>
      <c r="B237" s="230">
        <v>30000000</v>
      </c>
      <c r="C237" s="437">
        <v>5468329.3499999996</v>
      </c>
      <c r="D237" s="437">
        <v>3705342.74</v>
      </c>
      <c r="E237" s="232">
        <f t="shared" si="17"/>
        <v>67.760050699945509</v>
      </c>
      <c r="F237" s="81">
        <v>101168</v>
      </c>
      <c r="G237" s="141" t="s">
        <v>32</v>
      </c>
      <c r="H237" s="30"/>
    </row>
    <row r="238" spans="1:8" s="35" customFormat="1" x14ac:dyDescent="0.2">
      <c r="A238" s="250" t="s">
        <v>452</v>
      </c>
      <c r="B238" s="439">
        <v>6550000</v>
      </c>
      <c r="C238" s="251">
        <v>8874000</v>
      </c>
      <c r="D238" s="251">
        <v>8789164.4800000004</v>
      </c>
      <c r="E238" s="232">
        <f t="shared" si="17"/>
        <v>99.043999098489977</v>
      </c>
      <c r="F238" s="85">
        <v>101187</v>
      </c>
      <c r="G238" s="115" t="s">
        <v>32</v>
      </c>
      <c r="H238" s="30"/>
    </row>
    <row r="239" spans="1:8" s="35" customFormat="1" ht="25.5" x14ac:dyDescent="0.2">
      <c r="A239" s="581" t="s">
        <v>453</v>
      </c>
      <c r="B239" s="520">
        <v>0</v>
      </c>
      <c r="C239" s="599">
        <v>941022</v>
      </c>
      <c r="D239" s="599">
        <v>794325</v>
      </c>
      <c r="E239" s="232">
        <f t="shared" si="17"/>
        <v>84.410885186531232</v>
      </c>
      <c r="F239" s="85">
        <v>101189</v>
      </c>
      <c r="G239" s="115" t="s">
        <v>32</v>
      </c>
      <c r="H239" s="30"/>
    </row>
    <row r="240" spans="1:8" s="35" customFormat="1" x14ac:dyDescent="0.2">
      <c r="A240" s="239" t="s">
        <v>121</v>
      </c>
      <c r="B240" s="230">
        <v>0</v>
      </c>
      <c r="C240" s="437">
        <v>1791992</v>
      </c>
      <c r="D240" s="437">
        <v>1513627.06</v>
      </c>
      <c r="E240" s="232">
        <f t="shared" si="17"/>
        <v>84.466172840057325</v>
      </c>
      <c r="F240" s="85">
        <v>101242</v>
      </c>
      <c r="G240" s="115" t="s">
        <v>32</v>
      </c>
      <c r="H240" s="30"/>
    </row>
    <row r="241" spans="1:8" s="35" customFormat="1" x14ac:dyDescent="0.2">
      <c r="A241" s="239" t="s">
        <v>454</v>
      </c>
      <c r="B241" s="230">
        <v>2450000</v>
      </c>
      <c r="C241" s="437">
        <v>2459429.9</v>
      </c>
      <c r="D241" s="437">
        <v>2459429.9</v>
      </c>
      <c r="E241" s="232">
        <f t="shared" si="17"/>
        <v>100</v>
      </c>
      <c r="F241" s="85">
        <v>101309</v>
      </c>
      <c r="G241" s="115" t="s">
        <v>32</v>
      </c>
      <c r="H241" s="30"/>
    </row>
    <row r="242" spans="1:8" s="35" customFormat="1" ht="13.5" thickBot="1" x14ac:dyDescent="0.25">
      <c r="A242" s="240" t="s">
        <v>455</v>
      </c>
      <c r="B242" s="433">
        <v>0</v>
      </c>
      <c r="C242" s="474">
        <v>679331</v>
      </c>
      <c r="D242" s="474">
        <v>661923.59</v>
      </c>
      <c r="E242" s="237">
        <f t="shared" si="17"/>
        <v>97.437565781629274</v>
      </c>
      <c r="F242" s="85">
        <v>101475</v>
      </c>
      <c r="G242" s="115" t="s">
        <v>32</v>
      </c>
      <c r="H242" s="30"/>
    </row>
    <row r="243" spans="1:8" ht="13.5" thickTop="1" x14ac:dyDescent="0.2">
      <c r="A243" s="66"/>
      <c r="B243" s="73"/>
      <c r="C243" s="69"/>
      <c r="D243" s="69"/>
      <c r="E243" s="52"/>
      <c r="F243" s="37"/>
      <c r="G243" s="115"/>
    </row>
    <row r="244" spans="1:8" ht="15" customHeight="1" thickBot="1" x14ac:dyDescent="0.25">
      <c r="A244" s="57" t="s">
        <v>29</v>
      </c>
      <c r="B244" s="32"/>
      <c r="E244" s="40" t="s">
        <v>18</v>
      </c>
    </row>
    <row r="245" spans="1:8" ht="14.25" thickTop="1" thickBot="1" x14ac:dyDescent="0.25">
      <c r="A245" s="41" t="s">
        <v>5</v>
      </c>
      <c r="B245" s="42" t="s">
        <v>0</v>
      </c>
      <c r="C245" s="43" t="s">
        <v>1</v>
      </c>
      <c r="D245" s="44" t="s">
        <v>4</v>
      </c>
      <c r="E245" s="45" t="s">
        <v>6</v>
      </c>
    </row>
    <row r="246" spans="1:8" ht="15.75" thickTop="1" x14ac:dyDescent="0.2">
      <c r="A246" s="153" t="s">
        <v>8</v>
      </c>
      <c r="B246" s="111">
        <f>SUM(B247:B256)</f>
        <v>2750000</v>
      </c>
      <c r="C246" s="111">
        <f>SUM(C247:C256)</f>
        <v>8362739.4199999999</v>
      </c>
      <c r="D246" s="111">
        <f>SUM(D247:D256)</f>
        <v>8362739.4199999999</v>
      </c>
      <c r="E246" s="154">
        <f>D246/C246*100</f>
        <v>100</v>
      </c>
      <c r="F246" s="37"/>
    </row>
    <row r="247" spans="1:8" x14ac:dyDescent="0.2">
      <c r="A247" s="500" t="s">
        <v>246</v>
      </c>
      <c r="B247" s="501">
        <v>0</v>
      </c>
      <c r="C247" s="501">
        <v>81433</v>
      </c>
      <c r="D247" s="501">
        <v>81433</v>
      </c>
      <c r="E247" s="495">
        <f t="shared" ref="E247:E256" si="18">D247/C247*100</f>
        <v>100</v>
      </c>
      <c r="F247" s="85">
        <v>1603</v>
      </c>
      <c r="G247" s="120" t="s">
        <v>149</v>
      </c>
    </row>
    <row r="248" spans="1:8" ht="14.25" customHeight="1" x14ac:dyDescent="0.2">
      <c r="A248" s="239" t="s">
        <v>247</v>
      </c>
      <c r="B248" s="251">
        <v>0</v>
      </c>
      <c r="C248" s="251">
        <v>465340</v>
      </c>
      <c r="D248" s="251">
        <v>465340</v>
      </c>
      <c r="E248" s="495">
        <f t="shared" si="18"/>
        <v>100</v>
      </c>
      <c r="F248" s="85">
        <v>1604</v>
      </c>
      <c r="G248" s="120" t="s">
        <v>149</v>
      </c>
    </row>
    <row r="249" spans="1:8" x14ac:dyDescent="0.2">
      <c r="A249" s="239" t="s">
        <v>248</v>
      </c>
      <c r="B249" s="251">
        <v>0</v>
      </c>
      <c r="C249" s="251">
        <v>682872.87</v>
      </c>
      <c r="D249" s="251">
        <v>682872.87</v>
      </c>
      <c r="E249" s="495">
        <f t="shared" si="18"/>
        <v>100</v>
      </c>
      <c r="F249" s="85">
        <v>1606</v>
      </c>
      <c r="G249" s="120" t="s">
        <v>149</v>
      </c>
    </row>
    <row r="250" spans="1:8" x14ac:dyDescent="0.2">
      <c r="A250" s="239" t="s">
        <v>251</v>
      </c>
      <c r="B250" s="251">
        <v>0</v>
      </c>
      <c r="C250" s="251">
        <v>1705564.48</v>
      </c>
      <c r="D250" s="251">
        <v>1705564.48</v>
      </c>
      <c r="E250" s="495">
        <f t="shared" si="18"/>
        <v>100</v>
      </c>
      <c r="F250" s="85">
        <v>1601</v>
      </c>
      <c r="G250" s="120" t="s">
        <v>150</v>
      </c>
    </row>
    <row r="251" spans="1:8" x14ac:dyDescent="0.2">
      <c r="A251" s="239" t="s">
        <v>245</v>
      </c>
      <c r="B251" s="251">
        <v>0</v>
      </c>
      <c r="C251" s="251">
        <v>876507.5</v>
      </c>
      <c r="D251" s="251">
        <v>876507.5</v>
      </c>
      <c r="E251" s="495">
        <f t="shared" si="18"/>
        <v>100</v>
      </c>
      <c r="F251" s="85">
        <v>1602</v>
      </c>
      <c r="G251" s="120" t="s">
        <v>150</v>
      </c>
    </row>
    <row r="252" spans="1:8" x14ac:dyDescent="0.2">
      <c r="A252" s="239" t="s">
        <v>246</v>
      </c>
      <c r="B252" s="251">
        <v>2750000</v>
      </c>
      <c r="C252" s="251">
        <v>881405</v>
      </c>
      <c r="D252" s="251">
        <v>881405</v>
      </c>
      <c r="E252" s="495">
        <f t="shared" si="18"/>
        <v>100</v>
      </c>
      <c r="F252" s="85">
        <v>1603</v>
      </c>
      <c r="G252" s="120" t="s">
        <v>150</v>
      </c>
    </row>
    <row r="253" spans="1:8" ht="12.75" customHeight="1" x14ac:dyDescent="0.2">
      <c r="A253" s="239" t="s">
        <v>247</v>
      </c>
      <c r="B253" s="251">
        <v>0</v>
      </c>
      <c r="C253" s="251">
        <v>2237791.23</v>
      </c>
      <c r="D253" s="251">
        <v>2237791.23</v>
      </c>
      <c r="E253" s="495">
        <f t="shared" si="18"/>
        <v>100</v>
      </c>
      <c r="F253" s="85">
        <v>1604</v>
      </c>
      <c r="G253" s="120" t="s">
        <v>150</v>
      </c>
    </row>
    <row r="254" spans="1:8" x14ac:dyDescent="0.2">
      <c r="A254" s="239" t="s">
        <v>248</v>
      </c>
      <c r="B254" s="437">
        <v>0</v>
      </c>
      <c r="C254" s="437">
        <v>189599.74</v>
      </c>
      <c r="D254" s="437">
        <v>189599.74</v>
      </c>
      <c r="E254" s="495">
        <f t="shared" si="18"/>
        <v>100</v>
      </c>
      <c r="F254" s="81">
        <v>1606</v>
      </c>
      <c r="G254" s="120" t="s">
        <v>150</v>
      </c>
    </row>
    <row r="255" spans="1:8" x14ac:dyDescent="0.2">
      <c r="A255" s="239" t="s">
        <v>249</v>
      </c>
      <c r="B255" s="437">
        <v>0</v>
      </c>
      <c r="C255" s="437">
        <v>241225.60000000001</v>
      </c>
      <c r="D255" s="437">
        <v>241225.60000000001</v>
      </c>
      <c r="E255" s="495">
        <f t="shared" si="18"/>
        <v>100</v>
      </c>
      <c r="F255" s="85">
        <v>1607</v>
      </c>
      <c r="G255" s="120" t="s">
        <v>150</v>
      </c>
    </row>
    <row r="256" spans="1:8" ht="13.5" thickBot="1" x14ac:dyDescent="0.25">
      <c r="A256" s="240" t="s">
        <v>250</v>
      </c>
      <c r="B256" s="438">
        <v>0</v>
      </c>
      <c r="C256" s="438">
        <v>1001000</v>
      </c>
      <c r="D256" s="438">
        <v>1001000</v>
      </c>
      <c r="E256" s="237">
        <f t="shared" si="18"/>
        <v>100</v>
      </c>
      <c r="F256" s="85">
        <v>1608</v>
      </c>
      <c r="G256" s="120" t="s">
        <v>150</v>
      </c>
    </row>
    <row r="257" spans="1:12" ht="13.5" thickTop="1" x14ac:dyDescent="0.2">
      <c r="A257" s="454"/>
      <c r="B257" s="69"/>
      <c r="C257" s="69"/>
      <c r="D257" s="69"/>
      <c r="E257" s="52"/>
      <c r="F257" s="85"/>
      <c r="G257" s="120"/>
    </row>
    <row r="258" spans="1:12" s="7" customFormat="1" ht="15.75" thickBot="1" x14ac:dyDescent="0.3">
      <c r="A258" s="39" t="s">
        <v>157</v>
      </c>
      <c r="B258" s="32"/>
      <c r="C258" s="5"/>
      <c r="D258" s="5"/>
      <c r="E258" s="40" t="s">
        <v>18</v>
      </c>
      <c r="F258" s="82"/>
      <c r="G258" s="56"/>
    </row>
    <row r="259" spans="1:12" s="7" customFormat="1" ht="14.25" thickTop="1" thickBot="1" x14ac:dyDescent="0.25">
      <c r="A259" s="41" t="s">
        <v>5</v>
      </c>
      <c r="B259" s="42" t="s">
        <v>0</v>
      </c>
      <c r="C259" s="43" t="s">
        <v>1</v>
      </c>
      <c r="D259" s="44" t="s">
        <v>4</v>
      </c>
      <c r="E259" s="45" t="s">
        <v>6</v>
      </c>
      <c r="F259" s="82"/>
      <c r="G259" s="56"/>
    </row>
    <row r="260" spans="1:12" s="7" customFormat="1" ht="15.75" thickTop="1" x14ac:dyDescent="0.2">
      <c r="A260" s="46" t="s">
        <v>8</v>
      </c>
      <c r="B260" s="47">
        <f>SUM(B261:B261)</f>
        <v>0</v>
      </c>
      <c r="C260" s="47">
        <f>SUM(C261:C261)</f>
        <v>138064.5</v>
      </c>
      <c r="D260" s="47">
        <f>SUM(D261:D261)</f>
        <v>138064.5</v>
      </c>
      <c r="E260" s="78">
        <f>D260/C260*100</f>
        <v>100</v>
      </c>
      <c r="F260" s="82"/>
      <c r="G260" s="56"/>
    </row>
    <row r="261" spans="1:12" s="7" customFormat="1" ht="26.25" thickBot="1" x14ac:dyDescent="0.25">
      <c r="A261" s="493" t="s">
        <v>422</v>
      </c>
      <c r="B261" s="134">
        <v>0</v>
      </c>
      <c r="C261" s="136">
        <v>138064.5</v>
      </c>
      <c r="D261" s="134">
        <v>138064.5</v>
      </c>
      <c r="E261" s="135">
        <f>D261/C261*100</f>
        <v>100</v>
      </c>
      <c r="F261" s="82"/>
      <c r="G261" s="145" t="s">
        <v>35</v>
      </c>
      <c r="I261" s="141" t="s">
        <v>32</v>
      </c>
      <c r="J261" s="142">
        <f>SUM(B231:B242)</f>
        <v>55956000</v>
      </c>
      <c r="K261" s="142">
        <f>SUM(C231:C242)</f>
        <v>44990123</v>
      </c>
      <c r="L261" s="142">
        <f>SUM(D231:D242)</f>
        <v>38843705.68</v>
      </c>
    </row>
    <row r="262" spans="1:12" s="7" customFormat="1" ht="13.5" thickTop="1" x14ac:dyDescent="0.2">
      <c r="A262" s="492"/>
      <c r="B262" s="113"/>
      <c r="C262" s="113"/>
      <c r="D262" s="113"/>
      <c r="E262" s="52"/>
      <c r="F262" s="82"/>
      <c r="G262" s="56"/>
      <c r="I262" s="120" t="s">
        <v>34</v>
      </c>
      <c r="J262" s="166">
        <f>SUM(B247:B256)</f>
        <v>2750000</v>
      </c>
      <c r="K262" s="166">
        <f>SUM(C247:C256)</f>
        <v>8362739.4199999999</v>
      </c>
      <c r="L262" s="166">
        <f>SUM(D247:D256)</f>
        <v>8362739.4199999999</v>
      </c>
    </row>
    <row r="263" spans="1:12" s="7" customFormat="1" x14ac:dyDescent="0.2">
      <c r="B263" s="476"/>
      <c r="C263" s="93"/>
      <c r="D263" s="93"/>
      <c r="E263" s="52"/>
      <c r="F263" s="82"/>
      <c r="G263" s="56"/>
      <c r="I263" s="145" t="s">
        <v>35</v>
      </c>
      <c r="J263" s="190">
        <f>B261</f>
        <v>0</v>
      </c>
      <c r="K263" s="190">
        <f>C261</f>
        <v>138064.5</v>
      </c>
      <c r="L263" s="190">
        <f>D261</f>
        <v>138064.5</v>
      </c>
    </row>
    <row r="264" spans="1:12" s="6" customFormat="1" ht="18.75" thickBot="1" x14ac:dyDescent="0.3">
      <c r="A264" s="62" t="s">
        <v>22</v>
      </c>
      <c r="B264" s="473">
        <f>SUM(B246,B230,B260)</f>
        <v>58706000</v>
      </c>
      <c r="C264" s="473">
        <f>SUM(C246,C230,C260)</f>
        <v>53490926.920000002</v>
      </c>
      <c r="D264" s="473">
        <f>SUM(D246,D230,D260)</f>
        <v>47344509.600000001</v>
      </c>
      <c r="E264" s="64">
        <f>D264/C264*100</f>
        <v>88.509420804779722</v>
      </c>
      <c r="F264" s="105"/>
      <c r="G264" s="65"/>
      <c r="J264" s="123">
        <f>SUM(J261:J263)</f>
        <v>58706000</v>
      </c>
      <c r="K264" s="123">
        <f t="shared" ref="K264:L264" si="19">SUM(K261:K263)</f>
        <v>53490926.920000002</v>
      </c>
      <c r="L264" s="123">
        <f t="shared" si="19"/>
        <v>47344509.600000001</v>
      </c>
    </row>
    <row r="265" spans="1:12" s="6" customFormat="1" ht="18.75" thickTop="1" x14ac:dyDescent="0.25">
      <c r="A265" s="149"/>
      <c r="B265" s="477"/>
      <c r="C265" s="150"/>
      <c r="D265" s="150"/>
      <c r="E265" s="151"/>
      <c r="F265" s="105"/>
      <c r="G265" s="65"/>
    </row>
    <row r="266" spans="1:12" s="7" customFormat="1" x14ac:dyDescent="0.2">
      <c r="B266" s="475"/>
      <c r="E266" s="52"/>
      <c r="F266" s="82"/>
      <c r="G266" s="56"/>
    </row>
    <row r="267" spans="1:12" ht="15" customHeight="1" x14ac:dyDescent="0.25">
      <c r="A267" s="36" t="s">
        <v>57</v>
      </c>
      <c r="B267" s="32"/>
    </row>
    <row r="268" spans="1:12" ht="15" customHeight="1" thickBot="1" x14ac:dyDescent="0.3">
      <c r="A268" s="39" t="s">
        <v>101</v>
      </c>
      <c r="B268" s="32"/>
      <c r="E268" s="40" t="s">
        <v>18</v>
      </c>
    </row>
    <row r="269" spans="1:12" ht="14.25" thickTop="1" thickBot="1" x14ac:dyDescent="0.25">
      <c r="A269" s="41" t="s">
        <v>5</v>
      </c>
      <c r="B269" s="42" t="s">
        <v>0</v>
      </c>
      <c r="C269" s="43" t="s">
        <v>1</v>
      </c>
      <c r="D269" s="44" t="s">
        <v>4</v>
      </c>
      <c r="E269" s="45" t="s">
        <v>6</v>
      </c>
    </row>
    <row r="270" spans="1:12" ht="15.75" thickTop="1" x14ac:dyDescent="0.25">
      <c r="A270" s="46" t="s">
        <v>11</v>
      </c>
      <c r="B270" s="68">
        <f>SUM(B271:B297)</f>
        <v>74656000</v>
      </c>
      <c r="C270" s="68">
        <f>SUM(C271:C297)</f>
        <v>48510875.450000003</v>
      </c>
      <c r="D270" s="68">
        <f>SUM(D271:D297)</f>
        <v>35254372.310000002</v>
      </c>
      <c r="E270" s="48">
        <f>D270/C270*100</f>
        <v>72.673131504989158</v>
      </c>
      <c r="F270" s="37"/>
      <c r="H270" s="99"/>
    </row>
    <row r="271" spans="1:12" s="201" customFormat="1" x14ac:dyDescent="0.2">
      <c r="A271" s="502" t="s">
        <v>122</v>
      </c>
      <c r="B271" s="580">
        <v>500000</v>
      </c>
      <c r="C271" s="503">
        <v>500000</v>
      </c>
      <c r="D271" s="504">
        <v>60000</v>
      </c>
      <c r="E271" s="244">
        <f t="shared" ref="E271" si="20">D271/C271*100</f>
        <v>12</v>
      </c>
      <c r="F271" s="196">
        <v>100029</v>
      </c>
      <c r="G271" s="197" t="s">
        <v>32</v>
      </c>
      <c r="H271" s="200"/>
    </row>
    <row r="272" spans="1:12" s="201" customFormat="1" x14ac:dyDescent="0.2">
      <c r="A272" s="245" t="s">
        <v>110</v>
      </c>
      <c r="B272" s="478">
        <v>500000</v>
      </c>
      <c r="C272" s="243">
        <v>327000</v>
      </c>
      <c r="D272" s="242">
        <v>0</v>
      </c>
      <c r="E272" s="244">
        <f>D272/C272*100</f>
        <v>0</v>
      </c>
      <c r="F272" s="196">
        <v>100048</v>
      </c>
      <c r="G272" s="197" t="s">
        <v>32</v>
      </c>
      <c r="H272" s="200"/>
    </row>
    <row r="273" spans="1:8" s="201" customFormat="1" x14ac:dyDescent="0.2">
      <c r="A273" s="245" t="s">
        <v>111</v>
      </c>
      <c r="B273" s="478">
        <v>100000</v>
      </c>
      <c r="C273" s="243">
        <v>0</v>
      </c>
      <c r="D273" s="242">
        <v>0</v>
      </c>
      <c r="E273" s="244">
        <v>0</v>
      </c>
      <c r="F273" s="196">
        <v>100109</v>
      </c>
      <c r="G273" s="197" t="s">
        <v>32</v>
      </c>
      <c r="H273" s="200"/>
    </row>
    <row r="274" spans="1:8" s="201" customFormat="1" x14ac:dyDescent="0.2">
      <c r="A274" s="246" t="s">
        <v>81</v>
      </c>
      <c r="B274" s="478">
        <v>2000000</v>
      </c>
      <c r="C274" s="243">
        <v>33500</v>
      </c>
      <c r="D274" s="247">
        <v>0</v>
      </c>
      <c r="E274" s="244">
        <f t="shared" ref="E274:E296" si="21">D274/C274*100</f>
        <v>0</v>
      </c>
      <c r="F274" s="202">
        <v>100130</v>
      </c>
      <c r="G274" s="197" t="s">
        <v>32</v>
      </c>
      <c r="H274" s="200"/>
    </row>
    <row r="275" spans="1:8" s="201" customFormat="1" x14ac:dyDescent="0.2">
      <c r="A275" s="246" t="s">
        <v>456</v>
      </c>
      <c r="B275" s="478">
        <v>23560000</v>
      </c>
      <c r="C275" s="242">
        <v>27555974.649999999</v>
      </c>
      <c r="D275" s="247">
        <v>27555974.649999999</v>
      </c>
      <c r="E275" s="244">
        <f t="shared" si="21"/>
        <v>100</v>
      </c>
      <c r="F275" s="202">
        <v>100139</v>
      </c>
      <c r="G275" s="197" t="s">
        <v>32</v>
      </c>
      <c r="H275" s="200"/>
    </row>
    <row r="276" spans="1:8" s="201" customFormat="1" x14ac:dyDescent="0.2">
      <c r="A276" s="246" t="s">
        <v>124</v>
      </c>
      <c r="B276" s="478">
        <v>1500000</v>
      </c>
      <c r="C276" s="242">
        <v>136197.6</v>
      </c>
      <c r="D276" s="247">
        <v>136197.6</v>
      </c>
      <c r="E276" s="244">
        <f t="shared" si="21"/>
        <v>100</v>
      </c>
      <c r="F276" s="202">
        <v>100646</v>
      </c>
      <c r="G276" s="197" t="s">
        <v>32</v>
      </c>
      <c r="H276" s="200"/>
    </row>
    <row r="277" spans="1:8" s="201" customFormat="1" x14ac:dyDescent="0.2">
      <c r="A277" s="241" t="s">
        <v>45</v>
      </c>
      <c r="B277" s="478">
        <v>136000</v>
      </c>
      <c r="C277" s="242">
        <v>0</v>
      </c>
      <c r="D277" s="242">
        <v>0</v>
      </c>
      <c r="E277" s="244">
        <v>0</v>
      </c>
      <c r="F277" s="196">
        <v>100680</v>
      </c>
      <c r="G277" s="197" t="s">
        <v>32</v>
      </c>
      <c r="H277" s="200"/>
    </row>
    <row r="278" spans="1:8" s="201" customFormat="1" x14ac:dyDescent="0.2">
      <c r="A278" s="241" t="s">
        <v>347</v>
      </c>
      <c r="B278" s="478">
        <v>270000</v>
      </c>
      <c r="C278" s="242">
        <v>270000</v>
      </c>
      <c r="D278" s="242">
        <v>0</v>
      </c>
      <c r="E278" s="244">
        <f t="shared" si="21"/>
        <v>0</v>
      </c>
      <c r="F278" s="196">
        <v>100804</v>
      </c>
      <c r="G278" s="197" t="s">
        <v>32</v>
      </c>
      <c r="H278" s="200"/>
    </row>
    <row r="279" spans="1:8" s="201" customFormat="1" x14ac:dyDescent="0.2">
      <c r="A279" s="246" t="s">
        <v>46</v>
      </c>
      <c r="B279" s="478">
        <v>402000</v>
      </c>
      <c r="C279" s="243">
        <v>726000</v>
      </c>
      <c r="D279" s="247">
        <v>86153.1</v>
      </c>
      <c r="E279" s="244">
        <f t="shared" si="21"/>
        <v>11.866818181818182</v>
      </c>
      <c r="F279" s="202">
        <v>100907</v>
      </c>
      <c r="G279" s="197" t="s">
        <v>32</v>
      </c>
      <c r="H279" s="200"/>
    </row>
    <row r="280" spans="1:8" s="201" customFormat="1" x14ac:dyDescent="0.2">
      <c r="A280" s="246" t="s">
        <v>47</v>
      </c>
      <c r="B280" s="478">
        <v>943000</v>
      </c>
      <c r="C280" s="243">
        <v>1311242</v>
      </c>
      <c r="D280" s="247">
        <v>1070131.54</v>
      </c>
      <c r="E280" s="244">
        <f t="shared" si="21"/>
        <v>81.612054830458462</v>
      </c>
      <c r="F280" s="202">
        <v>100908</v>
      </c>
      <c r="G280" s="197" t="s">
        <v>32</v>
      </c>
      <c r="H280" s="200"/>
    </row>
    <row r="281" spans="1:8" s="201" customFormat="1" x14ac:dyDescent="0.2">
      <c r="A281" s="246" t="s">
        <v>348</v>
      </c>
      <c r="B281" s="478">
        <v>1000000</v>
      </c>
      <c r="C281" s="242">
        <v>2982096.64</v>
      </c>
      <c r="D281" s="247">
        <v>2954266.63</v>
      </c>
      <c r="E281" s="244">
        <f t="shared" si="21"/>
        <v>99.066763644520918</v>
      </c>
      <c r="F281" s="202">
        <v>100933</v>
      </c>
      <c r="G281" s="197" t="s">
        <v>32</v>
      </c>
      <c r="H281" s="200"/>
    </row>
    <row r="282" spans="1:8" s="201" customFormat="1" x14ac:dyDescent="0.2">
      <c r="A282" s="564" t="s">
        <v>457</v>
      </c>
      <c r="B282" s="478">
        <v>0</v>
      </c>
      <c r="C282" s="242">
        <v>2000</v>
      </c>
      <c r="D282" s="247">
        <v>2000</v>
      </c>
      <c r="E282" s="244">
        <f t="shared" si="21"/>
        <v>100</v>
      </c>
      <c r="F282" s="202">
        <v>100958</v>
      </c>
      <c r="G282" s="197" t="s">
        <v>32</v>
      </c>
      <c r="H282" s="200"/>
    </row>
    <row r="283" spans="1:8" s="201" customFormat="1" x14ac:dyDescent="0.2">
      <c r="A283" s="593" t="s">
        <v>58</v>
      </c>
      <c r="B283" s="478">
        <v>5000000</v>
      </c>
      <c r="C283" s="242">
        <v>0</v>
      </c>
      <c r="D283" s="247">
        <v>0</v>
      </c>
      <c r="E283" s="244">
        <v>0</v>
      </c>
      <c r="F283" s="202">
        <v>100959</v>
      </c>
      <c r="G283" s="197" t="s">
        <v>32</v>
      </c>
      <c r="H283" s="200"/>
    </row>
    <row r="284" spans="1:8" s="201" customFormat="1" x14ac:dyDescent="0.2">
      <c r="A284" s="246" t="s">
        <v>59</v>
      </c>
      <c r="B284" s="478">
        <v>3386000</v>
      </c>
      <c r="C284" s="242">
        <v>3386000</v>
      </c>
      <c r="D284" s="247">
        <v>0</v>
      </c>
      <c r="E284" s="244">
        <f t="shared" si="21"/>
        <v>0</v>
      </c>
      <c r="F284" s="202">
        <v>100960</v>
      </c>
      <c r="G284" s="197" t="s">
        <v>32</v>
      </c>
    </row>
    <row r="285" spans="1:8" s="201" customFormat="1" x14ac:dyDescent="0.2">
      <c r="A285" s="246" t="s">
        <v>60</v>
      </c>
      <c r="B285" s="478">
        <v>888000</v>
      </c>
      <c r="C285" s="242">
        <v>888080</v>
      </c>
      <c r="D285" s="247">
        <v>0</v>
      </c>
      <c r="E285" s="244">
        <f t="shared" si="21"/>
        <v>0</v>
      </c>
      <c r="F285" s="202">
        <v>100961</v>
      </c>
      <c r="G285" s="197" t="s">
        <v>32</v>
      </c>
    </row>
    <row r="286" spans="1:8" s="201" customFormat="1" x14ac:dyDescent="0.2">
      <c r="A286" s="246" t="s">
        <v>129</v>
      </c>
      <c r="B286" s="478">
        <v>5158000</v>
      </c>
      <c r="C286" s="242">
        <v>6011500</v>
      </c>
      <c r="D286" s="247">
        <v>2340859.59</v>
      </c>
      <c r="E286" s="244">
        <f t="shared" si="21"/>
        <v>38.93969209016052</v>
      </c>
      <c r="F286" s="202">
        <v>101004</v>
      </c>
      <c r="G286" s="197" t="s">
        <v>32</v>
      </c>
    </row>
    <row r="287" spans="1:8" s="201" customFormat="1" x14ac:dyDescent="0.2">
      <c r="A287" s="246" t="s">
        <v>130</v>
      </c>
      <c r="B287" s="478">
        <v>18961000</v>
      </c>
      <c r="C287" s="242">
        <v>0</v>
      </c>
      <c r="D287" s="247">
        <v>0</v>
      </c>
      <c r="E287" s="244">
        <v>0</v>
      </c>
      <c r="F287" s="202">
        <v>101007</v>
      </c>
      <c r="G287" s="197" t="s">
        <v>32</v>
      </c>
    </row>
    <row r="288" spans="1:8" s="201" customFormat="1" x14ac:dyDescent="0.2">
      <c r="A288" s="246" t="s">
        <v>258</v>
      </c>
      <c r="B288" s="478">
        <v>5662000</v>
      </c>
      <c r="C288" s="242">
        <v>1340000</v>
      </c>
      <c r="D288" s="247">
        <v>653846</v>
      </c>
      <c r="E288" s="244">
        <f t="shared" si="21"/>
        <v>48.794477611940302</v>
      </c>
      <c r="F288" s="202">
        <v>101014</v>
      </c>
      <c r="G288" s="197" t="s">
        <v>32</v>
      </c>
    </row>
    <row r="289" spans="1:8" s="201" customFormat="1" x14ac:dyDescent="0.2">
      <c r="A289" s="246" t="s">
        <v>82</v>
      </c>
      <c r="B289" s="478">
        <v>1198000</v>
      </c>
      <c r="C289" s="242">
        <v>0</v>
      </c>
      <c r="D289" s="247">
        <v>0</v>
      </c>
      <c r="E289" s="244">
        <v>0</v>
      </c>
      <c r="F289" s="202">
        <v>101081</v>
      </c>
      <c r="G289" s="197" t="s">
        <v>32</v>
      </c>
      <c r="H289" s="198"/>
    </row>
    <row r="290" spans="1:8" s="201" customFormat="1" x14ac:dyDescent="0.2">
      <c r="A290" s="246" t="s">
        <v>83</v>
      </c>
      <c r="B290" s="478">
        <v>1292000</v>
      </c>
      <c r="C290" s="242">
        <v>0</v>
      </c>
      <c r="D290" s="247">
        <v>0</v>
      </c>
      <c r="E290" s="244">
        <v>0</v>
      </c>
      <c r="F290" s="202">
        <v>101083</v>
      </c>
      <c r="G290" s="197" t="s">
        <v>32</v>
      </c>
      <c r="H290" s="198"/>
    </row>
    <row r="291" spans="1:8" s="201" customFormat="1" x14ac:dyDescent="0.2">
      <c r="A291" s="246" t="s">
        <v>203</v>
      </c>
      <c r="B291" s="251">
        <v>200000</v>
      </c>
      <c r="C291" s="243">
        <v>0</v>
      </c>
      <c r="D291" s="565">
        <v>0</v>
      </c>
      <c r="E291" s="244">
        <v>0</v>
      </c>
      <c r="F291" s="202">
        <v>101306</v>
      </c>
      <c r="G291" s="197" t="s">
        <v>32</v>
      </c>
      <c r="H291" s="198"/>
    </row>
    <row r="292" spans="1:8" s="201" customFormat="1" x14ac:dyDescent="0.2">
      <c r="A292" s="246" t="s">
        <v>349</v>
      </c>
      <c r="B292" s="251">
        <v>1000000</v>
      </c>
      <c r="C292" s="243">
        <v>0</v>
      </c>
      <c r="D292" s="565">
        <v>0</v>
      </c>
      <c r="E292" s="244">
        <v>0</v>
      </c>
      <c r="F292" s="202">
        <v>101418</v>
      </c>
      <c r="G292" s="197" t="s">
        <v>32</v>
      </c>
      <c r="H292" s="198"/>
    </row>
    <row r="293" spans="1:8" s="201" customFormat="1" x14ac:dyDescent="0.2">
      <c r="A293" s="564" t="s">
        <v>350</v>
      </c>
      <c r="B293" s="524">
        <v>500000</v>
      </c>
      <c r="C293" s="583">
        <v>193758</v>
      </c>
      <c r="D293" s="584">
        <v>89540</v>
      </c>
      <c r="E293" s="244">
        <f t="shared" si="21"/>
        <v>46.212285428214578</v>
      </c>
      <c r="F293" s="202">
        <v>101443</v>
      </c>
      <c r="G293" s="197" t="s">
        <v>32</v>
      </c>
      <c r="H293" s="198"/>
    </row>
    <row r="294" spans="1:8" s="201" customFormat="1" ht="25.5" x14ac:dyDescent="0.2">
      <c r="A294" s="564" t="s">
        <v>458</v>
      </c>
      <c r="B294" s="599">
        <v>500000</v>
      </c>
      <c r="C294" s="584">
        <v>387903.36</v>
      </c>
      <c r="D294" s="584">
        <v>0</v>
      </c>
      <c r="E294" s="244">
        <f t="shared" si="21"/>
        <v>0</v>
      </c>
      <c r="F294" s="202">
        <v>101444</v>
      </c>
      <c r="G294" s="197" t="s">
        <v>32</v>
      </c>
      <c r="H294" s="198"/>
    </row>
    <row r="295" spans="1:8" s="201" customFormat="1" x14ac:dyDescent="0.2">
      <c r="A295" s="564" t="s">
        <v>459</v>
      </c>
      <c r="B295" s="524">
        <v>0</v>
      </c>
      <c r="C295" s="583">
        <v>522560</v>
      </c>
      <c r="D295" s="584">
        <v>40000</v>
      </c>
      <c r="E295" s="244">
        <f t="shared" si="21"/>
        <v>7.6546233925290874</v>
      </c>
      <c r="F295" s="202">
        <v>101459</v>
      </c>
      <c r="G295" s="197" t="s">
        <v>32</v>
      </c>
      <c r="H295" s="198"/>
    </row>
    <row r="296" spans="1:8" s="201" customFormat="1" x14ac:dyDescent="0.2">
      <c r="A296" s="564" t="s">
        <v>460</v>
      </c>
      <c r="B296" s="524">
        <v>0</v>
      </c>
      <c r="C296" s="583">
        <v>237063.2</v>
      </c>
      <c r="D296" s="584">
        <v>237063.2</v>
      </c>
      <c r="E296" s="244">
        <f t="shared" si="21"/>
        <v>100</v>
      </c>
      <c r="F296" s="202">
        <v>101460</v>
      </c>
      <c r="G296" s="197" t="s">
        <v>32</v>
      </c>
      <c r="H296" s="198"/>
    </row>
    <row r="297" spans="1:8" s="201" customFormat="1" ht="13.5" thickBot="1" x14ac:dyDescent="0.25">
      <c r="A297" s="248" t="s">
        <v>461</v>
      </c>
      <c r="B297" s="438">
        <v>0</v>
      </c>
      <c r="C297" s="566">
        <v>1700000</v>
      </c>
      <c r="D297" s="567">
        <v>28340</v>
      </c>
      <c r="E297" s="249">
        <f t="shared" ref="E297" si="22">D297/C297*100</f>
        <v>1.6670588235294117</v>
      </c>
      <c r="F297" s="196">
        <v>101481</v>
      </c>
      <c r="G297" s="197" t="s">
        <v>32</v>
      </c>
      <c r="H297" s="198"/>
    </row>
    <row r="298" spans="1:8" s="208" customFormat="1" ht="13.5" thickTop="1" x14ac:dyDescent="0.2">
      <c r="B298" s="475"/>
      <c r="E298" s="209"/>
      <c r="F298" s="210"/>
      <c r="G298" s="211"/>
      <c r="H298" s="211"/>
    </row>
    <row r="299" spans="1:8" s="208" customFormat="1" ht="15.75" thickBot="1" x14ac:dyDescent="0.25">
      <c r="A299" s="212" t="s">
        <v>49</v>
      </c>
      <c r="B299" s="32"/>
      <c r="C299" s="199"/>
      <c r="D299" s="199"/>
      <c r="E299" s="213" t="s">
        <v>18</v>
      </c>
      <c r="F299" s="210"/>
      <c r="G299" s="211"/>
      <c r="H299" s="211"/>
    </row>
    <row r="300" spans="1:8" s="208" customFormat="1" ht="14.25" thickTop="1" thickBot="1" x14ac:dyDescent="0.25">
      <c r="A300" s="203" t="s">
        <v>5</v>
      </c>
      <c r="B300" s="42" t="s">
        <v>0</v>
      </c>
      <c r="C300" s="205" t="s">
        <v>1</v>
      </c>
      <c r="D300" s="206" t="s">
        <v>4</v>
      </c>
      <c r="E300" s="207" t="s">
        <v>6</v>
      </c>
      <c r="F300" s="210"/>
      <c r="G300" s="211"/>
      <c r="H300" s="211"/>
    </row>
    <row r="301" spans="1:8" s="208" customFormat="1" ht="15.75" thickTop="1" x14ac:dyDescent="0.2">
      <c r="A301" s="214" t="s">
        <v>11</v>
      </c>
      <c r="B301" s="479">
        <f>SUM(B302:B303)</f>
        <v>99484000</v>
      </c>
      <c r="C301" s="479">
        <f>SUM(C302:C303)</f>
        <v>118295582.97</v>
      </c>
      <c r="D301" s="479">
        <f>SUM(D302:D303)</f>
        <v>118295582.97</v>
      </c>
      <c r="E301" s="215">
        <f t="shared" ref="E301:E303" si="23">D301/C301*100</f>
        <v>100</v>
      </c>
      <c r="F301" s="210"/>
      <c r="G301" s="211"/>
      <c r="H301" s="211"/>
    </row>
    <row r="302" spans="1:8" s="208" customFormat="1" x14ac:dyDescent="0.2">
      <c r="A302" s="622" t="s">
        <v>252</v>
      </c>
      <c r="B302" s="494">
        <v>0</v>
      </c>
      <c r="C302" s="506">
        <v>2188356.85</v>
      </c>
      <c r="D302" s="506">
        <v>2188356.85</v>
      </c>
      <c r="E302" s="505">
        <f t="shared" si="23"/>
        <v>100</v>
      </c>
      <c r="F302" s="217" t="s">
        <v>50</v>
      </c>
      <c r="G302" s="216" t="s">
        <v>180</v>
      </c>
      <c r="H302" s="218"/>
    </row>
    <row r="303" spans="1:8" s="208" customFormat="1" ht="13.5" thickBot="1" x14ac:dyDescent="0.25">
      <c r="A303" s="623"/>
      <c r="B303" s="433">
        <v>99484000</v>
      </c>
      <c r="C303" s="590">
        <v>116107226.12</v>
      </c>
      <c r="D303" s="590">
        <v>116107226.12</v>
      </c>
      <c r="E303" s="249">
        <f t="shared" si="23"/>
        <v>100</v>
      </c>
      <c r="F303" s="217" t="s">
        <v>50</v>
      </c>
      <c r="G303" s="216" t="s">
        <v>181</v>
      </c>
    </row>
    <row r="304" spans="1:8" s="208" customFormat="1" ht="13.5" thickTop="1" x14ac:dyDescent="0.2">
      <c r="E304" s="209"/>
      <c r="F304" s="217"/>
      <c r="G304" s="216"/>
      <c r="H304" s="211"/>
    </row>
    <row r="305" spans="1:12" s="199" customFormat="1" ht="15" customHeight="1" thickBot="1" x14ac:dyDescent="0.3">
      <c r="A305" s="219" t="s">
        <v>157</v>
      </c>
      <c r="E305" s="220" t="s">
        <v>18</v>
      </c>
      <c r="G305" s="221"/>
      <c r="H305" s="222"/>
    </row>
    <row r="306" spans="1:12" s="199" customFormat="1" ht="18" customHeight="1" thickTop="1" thickBot="1" x14ac:dyDescent="0.25">
      <c r="A306" s="203" t="s">
        <v>5</v>
      </c>
      <c r="B306" s="204" t="s">
        <v>0</v>
      </c>
      <c r="C306" s="205" t="s">
        <v>1</v>
      </c>
      <c r="D306" s="206" t="s">
        <v>4</v>
      </c>
      <c r="E306" s="207" t="s">
        <v>6</v>
      </c>
      <c r="G306" s="221"/>
    </row>
    <row r="307" spans="1:12" s="199" customFormat="1" ht="15.75" thickTop="1" x14ac:dyDescent="0.2">
      <c r="A307" s="223" t="s">
        <v>11</v>
      </c>
      <c r="B307" s="224">
        <f>SUM(B308:B308)</f>
        <v>2480000</v>
      </c>
      <c r="C307" s="224">
        <f>SUM(C308:C308)</f>
        <v>2467935.5</v>
      </c>
      <c r="D307" s="224">
        <f>SUM(D308:D308)</f>
        <v>1861129.5</v>
      </c>
      <c r="E307" s="225">
        <f>D307/C307*100</f>
        <v>75.412404416565991</v>
      </c>
      <c r="F307" s="226" t="s">
        <v>2</v>
      </c>
      <c r="G307" s="227" t="s">
        <v>35</v>
      </c>
    </row>
    <row r="308" spans="1:12" s="80" customFormat="1" ht="13.5" thickBot="1" x14ac:dyDescent="0.25">
      <c r="A308" s="179" t="s">
        <v>37</v>
      </c>
      <c r="B308" s="134">
        <f>1300000+1180000</f>
        <v>2480000</v>
      </c>
      <c r="C308" s="138">
        <f>1788825+578935.5+100175</f>
        <v>2467935.5</v>
      </c>
      <c r="D308" s="138">
        <f>1613568.5+147386+100175</f>
        <v>1861129.5</v>
      </c>
      <c r="E308" s="135">
        <f>D308/C308*100</f>
        <v>75.412404416565991</v>
      </c>
      <c r="F308" s="119" t="s">
        <v>95</v>
      </c>
      <c r="G308" s="98"/>
      <c r="I308" s="115" t="s">
        <v>32</v>
      </c>
      <c r="J308" s="124">
        <f>SUM(B271:B297)</f>
        <v>74656000</v>
      </c>
      <c r="K308" s="124">
        <f>SUM(C271:C297)</f>
        <v>48510875.450000003</v>
      </c>
      <c r="L308" s="124">
        <f>SUM(D271:D297)</f>
        <v>35254372.310000002</v>
      </c>
    </row>
    <row r="309" spans="1:12" s="7" customFormat="1" ht="13.5" thickTop="1" x14ac:dyDescent="0.2">
      <c r="E309" s="52"/>
      <c r="F309" s="82"/>
      <c r="G309" s="56"/>
      <c r="I309" s="120" t="s">
        <v>34</v>
      </c>
      <c r="J309" s="166">
        <f>SUM(B302:B303)</f>
        <v>99484000</v>
      </c>
      <c r="K309" s="166">
        <f>SUM(C302:C303)</f>
        <v>118295582.97</v>
      </c>
      <c r="L309" s="166">
        <f>SUM(D302:D303)</f>
        <v>118295582.97</v>
      </c>
    </row>
    <row r="310" spans="1:12" s="7" customFormat="1" x14ac:dyDescent="0.2">
      <c r="E310" s="52"/>
      <c r="F310" s="82"/>
      <c r="G310" s="56"/>
      <c r="I310" s="227" t="s">
        <v>35</v>
      </c>
      <c r="J310" s="526">
        <f>B308</f>
        <v>2480000</v>
      </c>
      <c r="K310" s="526">
        <f>C308</f>
        <v>2467935.5</v>
      </c>
      <c r="L310" s="526">
        <f>D308</f>
        <v>1861129.5</v>
      </c>
    </row>
    <row r="311" spans="1:12" s="6" customFormat="1" ht="18.75" thickBot="1" x14ac:dyDescent="0.3">
      <c r="A311" s="62" t="s">
        <v>24</v>
      </c>
      <c r="B311" s="63">
        <f>SUM(B270,B301,B307)</f>
        <v>176620000</v>
      </c>
      <c r="C311" s="63">
        <f t="shared" ref="C311:D311" si="24">SUM(C270,C301,C307)</f>
        <v>169274393.92000002</v>
      </c>
      <c r="D311" s="63">
        <f t="shared" si="24"/>
        <v>155411084.78</v>
      </c>
      <c r="E311" s="64">
        <f>D311/C311*100</f>
        <v>91.810155795594284</v>
      </c>
      <c r="F311" s="104"/>
      <c r="G311" s="65"/>
      <c r="I311" s="115"/>
      <c r="J311" s="165">
        <f>SUM(J308:J310)</f>
        <v>176620000</v>
      </c>
      <c r="K311" s="165">
        <f>SUM(K308:K310)</f>
        <v>169274393.92000002</v>
      </c>
      <c r="L311" s="165">
        <f>SUM(L308:L310)</f>
        <v>155411084.78</v>
      </c>
    </row>
    <row r="312" spans="1:12" s="7" customFormat="1" ht="13.5" thickTop="1" x14ac:dyDescent="0.2">
      <c r="E312" s="52"/>
      <c r="F312" s="82"/>
      <c r="G312" s="56"/>
      <c r="H312" s="56"/>
    </row>
    <row r="313" spans="1:12" s="7" customFormat="1" x14ac:dyDescent="0.2">
      <c r="E313" s="52"/>
      <c r="F313" s="82"/>
      <c r="G313" s="56"/>
    </row>
    <row r="314" spans="1:12" s="7" customFormat="1" x14ac:dyDescent="0.2">
      <c r="E314" s="52"/>
      <c r="F314" s="82"/>
      <c r="G314" s="56"/>
    </row>
    <row r="315" spans="1:12" ht="15" customHeight="1" x14ac:dyDescent="0.25">
      <c r="A315" s="36" t="s">
        <v>30</v>
      </c>
    </row>
    <row r="316" spans="1:12" ht="15" customHeight="1" thickBot="1" x14ac:dyDescent="0.3">
      <c r="A316" s="39" t="s">
        <v>101</v>
      </c>
      <c r="E316" s="40" t="s">
        <v>18</v>
      </c>
    </row>
    <row r="317" spans="1:12" ht="14.25" thickTop="1" thickBot="1" x14ac:dyDescent="0.25">
      <c r="A317" s="41" t="s">
        <v>5</v>
      </c>
      <c r="B317" s="42" t="s">
        <v>0</v>
      </c>
      <c r="C317" s="43" t="s">
        <v>1</v>
      </c>
      <c r="D317" s="44" t="s">
        <v>4</v>
      </c>
      <c r="E317" s="45" t="s">
        <v>6</v>
      </c>
    </row>
    <row r="318" spans="1:12" ht="15.75" thickTop="1" x14ac:dyDescent="0.2">
      <c r="A318" s="46" t="s">
        <v>10</v>
      </c>
      <c r="B318" s="68">
        <f>SUM(B319:B330)</f>
        <v>115618000</v>
      </c>
      <c r="C318" s="68">
        <f>SUM(C319:C330)</f>
        <v>118023199.72</v>
      </c>
      <c r="D318" s="68">
        <f>SUM(D319:D330)</f>
        <v>115701625.79000001</v>
      </c>
      <c r="E318" s="78">
        <f t="shared" ref="E318:E330" si="25">D318/C318*100</f>
        <v>98.032951203231448</v>
      </c>
      <c r="F318" s="37"/>
    </row>
    <row r="319" spans="1:12" x14ac:dyDescent="0.2">
      <c r="A319" s="500" t="s">
        <v>85</v>
      </c>
      <c r="B319" s="507">
        <v>0</v>
      </c>
      <c r="C319" s="501">
        <v>120000</v>
      </c>
      <c r="D319" s="501">
        <v>108204.98</v>
      </c>
      <c r="E319" s="495">
        <f t="shared" si="25"/>
        <v>90.170816666666667</v>
      </c>
      <c r="F319" s="85">
        <v>100299</v>
      </c>
      <c r="G319" s="115" t="s">
        <v>32</v>
      </c>
    </row>
    <row r="320" spans="1:12" x14ac:dyDescent="0.2">
      <c r="A320" s="234" t="s">
        <v>204</v>
      </c>
      <c r="B320" s="238">
        <v>32428000</v>
      </c>
      <c r="C320" s="238">
        <v>25429320.239999998</v>
      </c>
      <c r="D320" s="238">
        <v>25181918.57</v>
      </c>
      <c r="E320" s="232">
        <f t="shared" si="25"/>
        <v>99.027100733857452</v>
      </c>
      <c r="F320" s="140">
        <v>100669</v>
      </c>
      <c r="G320" s="115" t="s">
        <v>32</v>
      </c>
    </row>
    <row r="321" spans="1:11" x14ac:dyDescent="0.2">
      <c r="A321" s="234" t="s">
        <v>87</v>
      </c>
      <c r="B321" s="238">
        <f>54000000+50000</f>
        <v>54050000</v>
      </c>
      <c r="C321" s="238">
        <f>72107200.73+190011.81</f>
        <v>72297212.540000007</v>
      </c>
      <c r="D321" s="238">
        <f>71415213.68+99229.2</f>
        <v>71514442.88000001</v>
      </c>
      <c r="E321" s="232">
        <f t="shared" si="25"/>
        <v>98.917289294428997</v>
      </c>
      <c r="F321" s="140">
        <v>101093</v>
      </c>
      <c r="G321" s="115" t="s">
        <v>32</v>
      </c>
    </row>
    <row r="322" spans="1:11" s="96" customFormat="1" ht="25.5" x14ac:dyDescent="0.2">
      <c r="A322" s="234" t="s">
        <v>86</v>
      </c>
      <c r="B322" s="238">
        <v>4856000</v>
      </c>
      <c r="C322" s="238">
        <v>4586170</v>
      </c>
      <c r="D322" s="238">
        <v>3513922.42</v>
      </c>
      <c r="E322" s="232">
        <f t="shared" si="25"/>
        <v>76.61997745395395</v>
      </c>
      <c r="F322" s="140">
        <v>101125</v>
      </c>
      <c r="G322" s="141" t="s">
        <v>32</v>
      </c>
      <c r="H322" s="95"/>
    </row>
    <row r="323" spans="1:11" s="96" customFormat="1" x14ac:dyDescent="0.2">
      <c r="A323" s="234" t="s">
        <v>131</v>
      </c>
      <c r="B323" s="238">
        <v>20652000</v>
      </c>
      <c r="C323" s="238">
        <v>7732169.5800000001</v>
      </c>
      <c r="D323" s="238">
        <v>7732169.5800000001</v>
      </c>
      <c r="E323" s="232">
        <f t="shared" si="25"/>
        <v>100</v>
      </c>
      <c r="F323" s="140">
        <v>101175</v>
      </c>
      <c r="G323" s="141" t="s">
        <v>32</v>
      </c>
      <c r="H323" s="95"/>
    </row>
    <row r="324" spans="1:11" s="96" customFormat="1" x14ac:dyDescent="0.2">
      <c r="A324" s="234" t="s">
        <v>132</v>
      </c>
      <c r="B324" s="238">
        <v>1000000</v>
      </c>
      <c r="C324" s="238">
        <v>500000</v>
      </c>
      <c r="D324" s="238">
        <v>346640</v>
      </c>
      <c r="E324" s="232">
        <f t="shared" si="25"/>
        <v>69.328000000000003</v>
      </c>
      <c r="F324" s="140">
        <v>101186</v>
      </c>
      <c r="G324" s="141" t="s">
        <v>32</v>
      </c>
      <c r="H324" s="95"/>
    </row>
    <row r="325" spans="1:11" s="96" customFormat="1" x14ac:dyDescent="0.2">
      <c r="A325" s="519" t="s">
        <v>351</v>
      </c>
      <c r="B325" s="525">
        <v>600000</v>
      </c>
      <c r="C325" s="525">
        <v>64251</v>
      </c>
      <c r="D325" s="525">
        <v>64251</v>
      </c>
      <c r="E325" s="521">
        <f t="shared" si="25"/>
        <v>100</v>
      </c>
      <c r="F325" s="140">
        <v>101236</v>
      </c>
      <c r="G325" s="115" t="s">
        <v>32</v>
      </c>
      <c r="H325" s="185"/>
    </row>
    <row r="326" spans="1:11" s="96" customFormat="1" ht="25.5" x14ac:dyDescent="0.2">
      <c r="A326" s="234" t="s">
        <v>205</v>
      </c>
      <c r="B326" s="230">
        <v>1500000</v>
      </c>
      <c r="C326" s="230">
        <v>2598030</v>
      </c>
      <c r="D326" s="230">
        <v>2598030</v>
      </c>
      <c r="E326" s="521">
        <f t="shared" si="25"/>
        <v>100</v>
      </c>
      <c r="F326" s="140">
        <v>101314</v>
      </c>
      <c r="G326" s="141" t="s">
        <v>32</v>
      </c>
      <c r="H326" s="185"/>
    </row>
    <row r="327" spans="1:11" s="96" customFormat="1" x14ac:dyDescent="0.2">
      <c r="A327" s="234" t="s">
        <v>206</v>
      </c>
      <c r="B327" s="230">
        <v>0</v>
      </c>
      <c r="C327" s="230">
        <v>22669</v>
      </c>
      <c r="D327" s="230">
        <v>22669</v>
      </c>
      <c r="E327" s="232">
        <f t="shared" si="25"/>
        <v>100</v>
      </c>
      <c r="F327" s="140">
        <v>101324</v>
      </c>
      <c r="G327" s="115" t="s">
        <v>32</v>
      </c>
      <c r="H327" s="185"/>
    </row>
    <row r="328" spans="1:11" s="96" customFormat="1" x14ac:dyDescent="0.2">
      <c r="A328" s="519" t="s">
        <v>289</v>
      </c>
      <c r="B328" s="520">
        <v>32000</v>
      </c>
      <c r="C328" s="520">
        <f>3580630.48+58527</f>
        <v>3639157.48</v>
      </c>
      <c r="D328" s="520">
        <f>3580630.48+58527</f>
        <v>3639157.48</v>
      </c>
      <c r="E328" s="521">
        <f t="shared" si="25"/>
        <v>100</v>
      </c>
      <c r="F328" s="140">
        <v>101329</v>
      </c>
      <c r="G328" s="115" t="s">
        <v>32</v>
      </c>
      <c r="H328" s="185"/>
    </row>
    <row r="329" spans="1:11" s="96" customFormat="1" x14ac:dyDescent="0.2">
      <c r="A329" s="519" t="s">
        <v>352</v>
      </c>
      <c r="B329" s="520">
        <v>500000</v>
      </c>
      <c r="C329" s="520">
        <v>32125.5</v>
      </c>
      <c r="D329" s="520">
        <v>32125.5</v>
      </c>
      <c r="E329" s="521">
        <f t="shared" si="25"/>
        <v>100</v>
      </c>
      <c r="F329" s="140">
        <v>101441</v>
      </c>
      <c r="G329" s="115" t="s">
        <v>32</v>
      </c>
      <c r="H329" s="185"/>
    </row>
    <row r="330" spans="1:11" s="96" customFormat="1" ht="13.5" thickBot="1" x14ac:dyDescent="0.25">
      <c r="A330" s="235" t="s">
        <v>462</v>
      </c>
      <c r="B330" s="433">
        <v>0</v>
      </c>
      <c r="C330" s="433">
        <v>1002094.38</v>
      </c>
      <c r="D330" s="433">
        <v>948094.38</v>
      </c>
      <c r="E330" s="237">
        <f t="shared" si="25"/>
        <v>94.611286014796335</v>
      </c>
      <c r="F330" s="140">
        <v>101458</v>
      </c>
      <c r="G330" s="115" t="s">
        <v>32</v>
      </c>
      <c r="H330" s="185"/>
    </row>
    <row r="331" spans="1:11" s="7" customFormat="1" ht="13.5" thickTop="1" x14ac:dyDescent="0.2">
      <c r="E331" s="52"/>
      <c r="F331" s="82"/>
      <c r="G331" s="56"/>
      <c r="H331" s="56"/>
    </row>
    <row r="332" spans="1:11" s="7" customFormat="1" ht="15.75" thickBot="1" x14ac:dyDescent="0.25">
      <c r="A332" s="57" t="s">
        <v>29</v>
      </c>
      <c r="B332" s="5"/>
      <c r="C332" s="5"/>
      <c r="D332" s="5"/>
      <c r="E332" s="152" t="s">
        <v>18</v>
      </c>
      <c r="F332" s="82"/>
      <c r="G332" s="56"/>
      <c r="H332" s="120"/>
      <c r="I332" s="125"/>
      <c r="J332" s="125"/>
      <c r="K332" s="125"/>
    </row>
    <row r="333" spans="1:11" s="6" customFormat="1" ht="19.5" thickTop="1" thickBot="1" x14ac:dyDescent="0.3">
      <c r="A333" s="41" t="s">
        <v>5</v>
      </c>
      <c r="B333" s="42" t="s">
        <v>0</v>
      </c>
      <c r="C333" s="43" t="s">
        <v>1</v>
      </c>
      <c r="D333" s="44" t="s">
        <v>4</v>
      </c>
      <c r="E333" s="45" t="s">
        <v>6</v>
      </c>
      <c r="F333" s="29"/>
      <c r="G333" s="65"/>
      <c r="H333" s="65"/>
    </row>
    <row r="334" spans="1:11" s="7" customFormat="1" ht="15.75" thickTop="1" x14ac:dyDescent="0.2">
      <c r="A334" s="153" t="s">
        <v>10</v>
      </c>
      <c r="B334" s="111">
        <f>SUM(B335:B337)</f>
        <v>32218000</v>
      </c>
      <c r="C334" s="111">
        <f>SUM(C335:C337)</f>
        <v>40811400.380000003</v>
      </c>
      <c r="D334" s="111">
        <f>SUM(D335:D337)</f>
        <v>40811400.380000003</v>
      </c>
      <c r="E334" s="154">
        <f>D334/C334*100</f>
        <v>100</v>
      </c>
      <c r="F334" s="82"/>
      <c r="G334" s="56"/>
      <c r="H334" s="56"/>
    </row>
    <row r="335" spans="1:11" s="7" customFormat="1" x14ac:dyDescent="0.2">
      <c r="A335" s="250" t="s">
        <v>253</v>
      </c>
      <c r="B335" s="230">
        <v>0</v>
      </c>
      <c r="C335" s="230">
        <v>5999983.6100000003</v>
      </c>
      <c r="D335" s="230">
        <v>5999983.6100000003</v>
      </c>
      <c r="E335" s="232">
        <f t="shared" ref="E335:E337" si="26">D335/C335*100</f>
        <v>100</v>
      </c>
      <c r="F335" s="82">
        <v>1700</v>
      </c>
      <c r="G335" s="424" t="s">
        <v>151</v>
      </c>
      <c r="H335" s="56"/>
    </row>
    <row r="336" spans="1:11" s="7" customFormat="1" x14ac:dyDescent="0.2">
      <c r="A336" s="522" t="s">
        <v>382</v>
      </c>
      <c r="B336" s="520">
        <v>0</v>
      </c>
      <c r="C336" s="520">
        <v>558587</v>
      </c>
      <c r="D336" s="520">
        <v>558587</v>
      </c>
      <c r="E336" s="521">
        <f t="shared" si="26"/>
        <v>100</v>
      </c>
      <c r="F336" s="82">
        <v>1702</v>
      </c>
      <c r="G336" s="424" t="s">
        <v>151</v>
      </c>
      <c r="H336" s="56"/>
    </row>
    <row r="337" spans="1:12" s="7" customFormat="1" ht="13.5" thickBot="1" x14ac:dyDescent="0.25">
      <c r="A337" s="240" t="s">
        <v>254</v>
      </c>
      <c r="B337" s="433">
        <v>32218000</v>
      </c>
      <c r="C337" s="433">
        <v>34252829.770000003</v>
      </c>
      <c r="D337" s="433">
        <v>34252829.770000003</v>
      </c>
      <c r="E337" s="237">
        <f t="shared" si="26"/>
        <v>100</v>
      </c>
      <c r="F337" s="82">
        <v>1704</v>
      </c>
      <c r="G337" s="424" t="s">
        <v>151</v>
      </c>
      <c r="H337" s="56"/>
    </row>
    <row r="338" spans="1:12" s="7" customFormat="1" ht="13.5" thickTop="1" x14ac:dyDescent="0.2">
      <c r="A338" s="454"/>
      <c r="B338" s="113"/>
      <c r="C338" s="113"/>
      <c r="D338" s="113"/>
      <c r="E338" s="52"/>
      <c r="F338" s="82"/>
      <c r="G338" s="424"/>
      <c r="H338" s="56"/>
    </row>
    <row r="339" spans="1:12" s="7" customFormat="1" ht="15.75" thickBot="1" x14ac:dyDescent="0.3">
      <c r="A339" s="219" t="s">
        <v>157</v>
      </c>
      <c r="B339" s="199"/>
      <c r="C339" s="199"/>
      <c r="D339" s="199"/>
      <c r="E339" s="220" t="s">
        <v>18</v>
      </c>
      <c r="F339" s="199"/>
      <c r="G339" s="221"/>
      <c r="H339" s="56"/>
    </row>
    <row r="340" spans="1:12" s="7" customFormat="1" ht="14.25" thickTop="1" thickBot="1" x14ac:dyDescent="0.25">
      <c r="A340" s="203" t="s">
        <v>5</v>
      </c>
      <c r="B340" s="204" t="s">
        <v>0</v>
      </c>
      <c r="C340" s="205" t="s">
        <v>1</v>
      </c>
      <c r="D340" s="206" t="s">
        <v>4</v>
      </c>
      <c r="E340" s="207" t="s">
        <v>6</v>
      </c>
      <c r="F340" s="199"/>
      <c r="G340" s="221"/>
      <c r="H340" s="56"/>
    </row>
    <row r="341" spans="1:12" s="7" customFormat="1" ht="15.75" thickTop="1" x14ac:dyDescent="0.2">
      <c r="A341" s="223" t="s">
        <v>10</v>
      </c>
      <c r="B341" s="224">
        <f>SUM(B342:B342)</f>
        <v>0</v>
      </c>
      <c r="C341" s="224">
        <f>SUM(C342:C342)</f>
        <v>12000</v>
      </c>
      <c r="D341" s="224">
        <f>SUM(D342:D342)</f>
        <v>1227</v>
      </c>
      <c r="E341" s="225">
        <f>D341/C341*100</f>
        <v>10.225</v>
      </c>
      <c r="F341" s="226" t="s">
        <v>2</v>
      </c>
      <c r="G341" s="227" t="s">
        <v>35</v>
      </c>
      <c r="H341" s="56"/>
    </row>
    <row r="342" spans="1:12" s="7" customFormat="1" ht="26.25" thickBot="1" x14ac:dyDescent="0.25">
      <c r="A342" s="176" t="s">
        <v>423</v>
      </c>
      <c r="B342" s="134">
        <v>0</v>
      </c>
      <c r="C342" s="134">
        <v>12000</v>
      </c>
      <c r="D342" s="134">
        <v>1227</v>
      </c>
      <c r="E342" s="135">
        <f>D342/C342*100</f>
        <v>10.225</v>
      </c>
      <c r="F342" s="119"/>
      <c r="G342" s="98"/>
      <c r="H342" s="56"/>
      <c r="I342" s="115" t="s">
        <v>32</v>
      </c>
      <c r="J342" s="124">
        <f>SUM(B319:B330)</f>
        <v>115618000</v>
      </c>
      <c r="K342" s="124">
        <f>SUM(C319:C330)</f>
        <v>118023199.72</v>
      </c>
      <c r="L342" s="124">
        <f>SUM(D319:D330)</f>
        <v>115701625.79000001</v>
      </c>
    </row>
    <row r="343" spans="1:12" s="7" customFormat="1" ht="13.5" thickTop="1" x14ac:dyDescent="0.2">
      <c r="A343" s="454"/>
      <c r="B343" s="113"/>
      <c r="C343" s="113"/>
      <c r="D343" s="113"/>
      <c r="E343" s="52"/>
      <c r="F343" s="82"/>
      <c r="G343" s="424"/>
      <c r="H343" s="56"/>
      <c r="I343" s="120" t="s">
        <v>34</v>
      </c>
      <c r="J343" s="166">
        <f>SUM(B335:B337)</f>
        <v>32218000</v>
      </c>
      <c r="K343" s="166">
        <f>SUM(C335:C337)</f>
        <v>40811400.380000003</v>
      </c>
      <c r="L343" s="166">
        <f>SUM(D335:D337)</f>
        <v>40811400.380000003</v>
      </c>
    </row>
    <row r="344" spans="1:12" s="7" customFormat="1" x14ac:dyDescent="0.2">
      <c r="B344" s="93"/>
      <c r="C344" s="93"/>
      <c r="D344" s="93"/>
      <c r="E344" s="52"/>
      <c r="F344" s="82"/>
      <c r="G344" s="56"/>
      <c r="H344" s="56"/>
      <c r="I344" s="227" t="s">
        <v>35</v>
      </c>
      <c r="J344" s="526">
        <f>B342</f>
        <v>0</v>
      </c>
      <c r="K344" s="526">
        <f>C342</f>
        <v>12000</v>
      </c>
      <c r="L344" s="526">
        <f>D342</f>
        <v>1227</v>
      </c>
    </row>
    <row r="345" spans="1:12" s="7" customFormat="1" ht="18.75" thickBot="1" x14ac:dyDescent="0.25">
      <c r="A345" s="62" t="s">
        <v>23</v>
      </c>
      <c r="B345" s="63">
        <f>SUM(B318,B334,B341)</f>
        <v>147836000</v>
      </c>
      <c r="C345" s="63">
        <f>SUM(C318,C334,C341)</f>
        <v>158846600.09999999</v>
      </c>
      <c r="D345" s="63">
        <f>SUM(D318,D334,D341)</f>
        <v>156514253.17000002</v>
      </c>
      <c r="E345" s="64">
        <f>D345/C345*100</f>
        <v>98.531698551601565</v>
      </c>
      <c r="F345" s="82"/>
      <c r="G345" s="56"/>
      <c r="H345" s="56"/>
      <c r="J345" s="165">
        <f>SUM(J342:J344)</f>
        <v>147836000</v>
      </c>
      <c r="K345" s="165">
        <f t="shared" ref="K345:L345" si="27">SUM(K342:K344)</f>
        <v>158846600.09999999</v>
      </c>
      <c r="L345" s="165">
        <f t="shared" si="27"/>
        <v>156514253.17000002</v>
      </c>
    </row>
    <row r="346" spans="1:12" s="7" customFormat="1" ht="13.5" thickTop="1" x14ac:dyDescent="0.2">
      <c r="E346" s="52"/>
      <c r="F346" s="82"/>
      <c r="G346" s="56"/>
      <c r="H346" s="56"/>
    </row>
    <row r="347" spans="1:12" s="7" customFormat="1" x14ac:dyDescent="0.2">
      <c r="E347" s="52"/>
      <c r="F347" s="82"/>
      <c r="G347" s="56"/>
      <c r="H347" s="56"/>
    </row>
    <row r="348" spans="1:12" s="7" customFormat="1" ht="18" x14ac:dyDescent="0.25">
      <c r="A348" s="36" t="s">
        <v>397</v>
      </c>
      <c r="B348" s="5"/>
      <c r="C348" s="5"/>
      <c r="D348" s="5"/>
      <c r="E348" s="37"/>
      <c r="F348" s="82"/>
      <c r="G348" s="56"/>
      <c r="H348" s="56"/>
    </row>
    <row r="349" spans="1:12" s="7" customFormat="1" ht="15.75" thickBot="1" x14ac:dyDescent="0.3">
      <c r="A349" s="39" t="s">
        <v>101</v>
      </c>
      <c r="B349" s="5"/>
      <c r="C349" s="5"/>
      <c r="D349" s="5"/>
      <c r="E349" s="40" t="s">
        <v>18</v>
      </c>
      <c r="F349" s="82"/>
      <c r="G349" s="56"/>
      <c r="H349" s="56"/>
    </row>
    <row r="350" spans="1:12" s="7" customFormat="1" ht="14.25" thickTop="1" thickBot="1" x14ac:dyDescent="0.25">
      <c r="A350" s="41" t="s">
        <v>5</v>
      </c>
      <c r="B350" s="42" t="s">
        <v>0</v>
      </c>
      <c r="C350" s="43" t="s">
        <v>1</v>
      </c>
      <c r="D350" s="44" t="s">
        <v>4</v>
      </c>
      <c r="E350" s="45" t="s">
        <v>6</v>
      </c>
      <c r="F350" s="82"/>
      <c r="G350" s="56"/>
      <c r="H350" s="56"/>
    </row>
    <row r="351" spans="1:12" s="7" customFormat="1" ht="15.75" thickTop="1" x14ac:dyDescent="0.2">
      <c r="A351" s="46" t="s">
        <v>51</v>
      </c>
      <c r="B351" s="68">
        <f>SUM(B352:B352)</f>
        <v>1650000</v>
      </c>
      <c r="C351" s="68">
        <f t="shared" ref="C351:D351" si="28">SUM(C352:C352)</f>
        <v>0</v>
      </c>
      <c r="D351" s="68">
        <f t="shared" si="28"/>
        <v>0</v>
      </c>
      <c r="E351" s="78">
        <v>0</v>
      </c>
      <c r="F351" s="82"/>
      <c r="G351" s="56"/>
      <c r="H351" s="56"/>
    </row>
    <row r="352" spans="1:12" s="7" customFormat="1" ht="13.5" thickBot="1" x14ac:dyDescent="0.25">
      <c r="A352" s="587" t="s">
        <v>463</v>
      </c>
      <c r="B352" s="588">
        <v>1650000</v>
      </c>
      <c r="C352" s="589">
        <v>0</v>
      </c>
      <c r="D352" s="589">
        <v>0</v>
      </c>
      <c r="E352" s="135">
        <v>0</v>
      </c>
      <c r="F352" s="85">
        <v>101448</v>
      </c>
      <c r="G352" s="115" t="s">
        <v>32</v>
      </c>
      <c r="H352" s="56"/>
    </row>
    <row r="353" spans="1:12" s="7" customFormat="1" ht="13.5" thickTop="1" x14ac:dyDescent="0.2">
      <c r="E353" s="52"/>
      <c r="F353" s="82"/>
      <c r="G353" s="56"/>
      <c r="H353" s="56"/>
    </row>
    <row r="354" spans="1:12" s="7" customFormat="1" x14ac:dyDescent="0.2">
      <c r="E354" s="52"/>
      <c r="F354" s="82"/>
      <c r="G354" s="56"/>
      <c r="H354" s="56"/>
      <c r="I354" s="115" t="s">
        <v>32</v>
      </c>
      <c r="J354" s="124">
        <f>B352</f>
        <v>1650000</v>
      </c>
      <c r="K354" s="124">
        <f t="shared" ref="K354:L354" si="29">C352</f>
        <v>0</v>
      </c>
      <c r="L354" s="124">
        <f t="shared" si="29"/>
        <v>0</v>
      </c>
    </row>
    <row r="355" spans="1:12" s="7" customFormat="1" ht="18.75" thickBot="1" x14ac:dyDescent="0.25">
      <c r="A355" s="62" t="s">
        <v>42</v>
      </c>
      <c r="B355" s="63">
        <f>SUM(B351)</f>
        <v>1650000</v>
      </c>
      <c r="C355" s="63">
        <f t="shared" ref="C355:D355" si="30">SUM(C351)</f>
        <v>0</v>
      </c>
      <c r="D355" s="63">
        <f t="shared" si="30"/>
        <v>0</v>
      </c>
      <c r="E355" s="64">
        <v>0</v>
      </c>
      <c r="F355" s="82"/>
      <c r="G355" s="56"/>
      <c r="H355" s="56"/>
      <c r="J355" s="165">
        <f>SUM(J354)</f>
        <v>1650000</v>
      </c>
      <c r="K355" s="165">
        <f t="shared" ref="K355:L355" si="31">SUM(K354)</f>
        <v>0</v>
      </c>
      <c r="L355" s="165">
        <f t="shared" si="31"/>
        <v>0</v>
      </c>
    </row>
    <row r="356" spans="1:12" s="7" customFormat="1" ht="13.5" thickTop="1" x14ac:dyDescent="0.2">
      <c r="E356" s="52"/>
      <c r="F356" s="82"/>
      <c r="G356" s="56"/>
      <c r="H356" s="56"/>
    </row>
    <row r="357" spans="1:12" s="7" customFormat="1" x14ac:dyDescent="0.2">
      <c r="E357" s="52"/>
      <c r="F357" s="82"/>
      <c r="G357" s="56"/>
      <c r="H357" s="56"/>
    </row>
    <row r="358" spans="1:12" ht="18" x14ac:dyDescent="0.25">
      <c r="A358" s="36" t="s">
        <v>398</v>
      </c>
      <c r="F358" s="37"/>
    </row>
    <row r="359" spans="1:12" s="60" customFormat="1" ht="15.75" thickBot="1" x14ac:dyDescent="0.3">
      <c r="A359" s="39" t="s">
        <v>41</v>
      </c>
      <c r="B359" s="5"/>
      <c r="C359" s="5"/>
      <c r="D359" s="5"/>
      <c r="E359" s="40" t="s">
        <v>18</v>
      </c>
      <c r="F359" s="86"/>
      <c r="G359" s="516"/>
      <c r="H359" s="59"/>
    </row>
    <row r="360" spans="1:12" ht="14.25" thickTop="1" thickBot="1" x14ac:dyDescent="0.25">
      <c r="A360" s="41" t="s">
        <v>5</v>
      </c>
      <c r="B360" s="42" t="s">
        <v>0</v>
      </c>
      <c r="C360" s="43" t="s">
        <v>1</v>
      </c>
      <c r="D360" s="44" t="s">
        <v>4</v>
      </c>
      <c r="E360" s="45" t="s">
        <v>6</v>
      </c>
      <c r="F360" s="37"/>
    </row>
    <row r="361" spans="1:12" ht="15.75" thickTop="1" x14ac:dyDescent="0.2">
      <c r="A361" s="508" t="s">
        <v>66</v>
      </c>
      <c r="B361" s="509">
        <f>SUM(B362:B362)</f>
        <v>0</v>
      </c>
      <c r="C361" s="509">
        <f>SUM(C362:C362)</f>
        <v>3961000</v>
      </c>
      <c r="D361" s="509">
        <f>SUM(D362:D362)</f>
        <v>3895526.27</v>
      </c>
      <c r="E361" s="510">
        <f>D361/C361*100</f>
        <v>98.347040393839933</v>
      </c>
      <c r="F361" s="37"/>
      <c r="G361" s="56" t="s">
        <v>414</v>
      </c>
    </row>
    <row r="362" spans="1:12" ht="38.25" x14ac:dyDescent="0.2">
      <c r="A362" s="498" t="s">
        <v>417</v>
      </c>
      <c r="B362" s="494">
        <v>0</v>
      </c>
      <c r="C362" s="494">
        <v>3961000</v>
      </c>
      <c r="D362" s="494">
        <v>3895526.27</v>
      </c>
      <c r="E362" s="495">
        <f t="shared" ref="E362" si="32">D362/C362*100</f>
        <v>98.347040393839933</v>
      </c>
      <c r="F362" s="37"/>
      <c r="G362" s="144"/>
    </row>
    <row r="363" spans="1:12" ht="15" x14ac:dyDescent="0.25">
      <c r="A363" s="508" t="s">
        <v>183</v>
      </c>
      <c r="B363" s="601">
        <f>SUM(B364:B365)</f>
        <v>22000000</v>
      </c>
      <c r="C363" s="509">
        <f>SUM(C364:C365)</f>
        <v>29273000</v>
      </c>
      <c r="D363" s="509">
        <f>SUM(D364:D365)</f>
        <v>28418124.789999999</v>
      </c>
      <c r="E363" s="510">
        <f>D363/C363*100</f>
        <v>97.079646056092642</v>
      </c>
      <c r="F363" s="37"/>
      <c r="G363" s="56" t="s">
        <v>182</v>
      </c>
      <c r="H363" s="56"/>
      <c r="I363" s="108"/>
      <c r="J363" s="123"/>
      <c r="K363" s="123"/>
      <c r="L363" s="123"/>
    </row>
    <row r="364" spans="1:12" ht="39" x14ac:dyDescent="0.25">
      <c r="A364" s="498" t="s">
        <v>419</v>
      </c>
      <c r="B364" s="600">
        <v>22000000</v>
      </c>
      <c r="C364" s="600">
        <v>20671206.27</v>
      </c>
      <c r="D364" s="600">
        <v>19845832.379999999</v>
      </c>
      <c r="E364" s="495">
        <f t="shared" ref="E364:E365" si="33">D364/C364*100</f>
        <v>96.007132437172473</v>
      </c>
      <c r="F364" s="37"/>
      <c r="G364" s="191"/>
      <c r="H364" s="56"/>
      <c r="I364" s="108"/>
      <c r="J364" s="123"/>
      <c r="K364" s="123"/>
      <c r="L364" s="123"/>
    </row>
    <row r="365" spans="1:12" ht="52.5" thickBot="1" x14ac:dyDescent="0.3">
      <c r="A365" s="578" t="s">
        <v>418</v>
      </c>
      <c r="B365" s="611">
        <v>0</v>
      </c>
      <c r="C365" s="611">
        <v>8601793.7300000004</v>
      </c>
      <c r="D365" s="611">
        <v>8572292.4100000001</v>
      </c>
      <c r="E365" s="237">
        <f t="shared" si="33"/>
        <v>99.657032929107444</v>
      </c>
      <c r="F365" s="37"/>
      <c r="G365" s="191"/>
      <c r="H365" s="56"/>
      <c r="I365" s="108"/>
      <c r="J365" s="123"/>
      <c r="K365" s="123"/>
      <c r="L365" s="123"/>
    </row>
    <row r="366" spans="1:12" ht="13.5" thickTop="1" x14ac:dyDescent="0.2">
      <c r="A366" s="66"/>
      <c r="B366" s="67"/>
      <c r="C366" s="67"/>
      <c r="D366" s="67"/>
      <c r="E366" s="52"/>
      <c r="G366" s="56"/>
      <c r="H366" s="56"/>
    </row>
    <row r="367" spans="1:12" x14ac:dyDescent="0.2">
      <c r="A367" s="66"/>
      <c r="B367" s="67"/>
      <c r="C367" s="67"/>
      <c r="D367" s="67"/>
      <c r="E367" s="52"/>
      <c r="G367" s="56"/>
      <c r="H367" s="56"/>
      <c r="I367" s="38" t="s">
        <v>415</v>
      </c>
      <c r="J367" s="4">
        <f>B361</f>
        <v>0</v>
      </c>
      <c r="K367" s="4">
        <f>C361</f>
        <v>3961000</v>
      </c>
      <c r="L367" s="4">
        <f>D361</f>
        <v>3895526.27</v>
      </c>
    </row>
    <row r="368" spans="1:12" x14ac:dyDescent="0.2">
      <c r="A368" s="66"/>
      <c r="B368" s="67"/>
      <c r="C368" s="67"/>
      <c r="D368" s="67"/>
      <c r="E368" s="52"/>
      <c r="G368" s="56"/>
      <c r="H368" s="56"/>
      <c r="I368" s="38" t="s">
        <v>416</v>
      </c>
      <c r="J368" s="4">
        <f>B363</f>
        <v>22000000</v>
      </c>
      <c r="K368" s="4">
        <f>C363</f>
        <v>29273000</v>
      </c>
      <c r="L368" s="4">
        <f>D363</f>
        <v>28418124.789999999</v>
      </c>
    </row>
    <row r="369" spans="1:12" ht="18.75" thickBot="1" x14ac:dyDescent="0.3">
      <c r="A369" s="62" t="s">
        <v>158</v>
      </c>
      <c r="B369" s="63">
        <f>SUM(B361,B363)</f>
        <v>22000000</v>
      </c>
      <c r="C369" s="63">
        <f t="shared" ref="C369:D369" si="34">SUM(C361,C363)</f>
        <v>33234000</v>
      </c>
      <c r="D369" s="63">
        <f t="shared" si="34"/>
        <v>32313651.059999999</v>
      </c>
      <c r="E369" s="64">
        <f>D369/C369*100</f>
        <v>97.230700667990604</v>
      </c>
      <c r="G369" s="56"/>
      <c r="H369" s="56"/>
      <c r="I369" s="108"/>
      <c r="J369" s="123">
        <f>SUM(J367:J368)</f>
        <v>22000000</v>
      </c>
      <c r="K369" s="123">
        <f>SUM(K367:K368)</f>
        <v>33234000</v>
      </c>
      <c r="L369" s="123">
        <f>SUM(L367:L368)</f>
        <v>32313651.059999999</v>
      </c>
    </row>
    <row r="370" spans="1:12" ht="18.75" thickTop="1" x14ac:dyDescent="0.2">
      <c r="A370" s="149"/>
      <c r="B370" s="150"/>
      <c r="C370" s="150"/>
      <c r="D370" s="150"/>
      <c r="E370" s="151"/>
      <c r="G370" s="56"/>
      <c r="H370" s="56"/>
    </row>
    <row r="371" spans="1:12" x14ac:dyDescent="0.2">
      <c r="B371" s="4"/>
      <c r="F371" s="100"/>
      <c r="G371" s="56"/>
      <c r="H371" s="56"/>
    </row>
    <row r="372" spans="1:12" ht="14.25" x14ac:dyDescent="0.2">
      <c r="A372" s="70" t="s">
        <v>12</v>
      </c>
      <c r="B372" s="70"/>
      <c r="C372" s="70"/>
      <c r="D372" s="70"/>
      <c r="E372" s="71"/>
      <c r="F372" s="101"/>
      <c r="G372" s="56"/>
      <c r="H372" s="56"/>
    </row>
    <row r="373" spans="1:12" ht="14.25" x14ac:dyDescent="0.2">
      <c r="A373" s="72" t="s">
        <v>16</v>
      </c>
      <c r="B373" s="73">
        <f>SUM(B138)</f>
        <v>135941000</v>
      </c>
      <c r="C373" s="73">
        <f>SUM(C138)</f>
        <v>239944634.62</v>
      </c>
      <c r="D373" s="73">
        <f>SUM(D138)</f>
        <v>226308477.10000002</v>
      </c>
      <c r="E373" s="74">
        <f t="shared" ref="E373:E380" si="35">D373/C373*100</f>
        <v>94.316956683946884</v>
      </c>
      <c r="F373" s="102"/>
      <c r="G373" s="56"/>
      <c r="H373" s="56"/>
    </row>
    <row r="374" spans="1:12" ht="14.25" x14ac:dyDescent="0.2">
      <c r="A374" s="72" t="s">
        <v>15</v>
      </c>
      <c r="B374" s="73">
        <f>SUM(B224)</f>
        <v>209009000</v>
      </c>
      <c r="C374" s="73">
        <f>SUM(C224)</f>
        <v>138156029.84999999</v>
      </c>
      <c r="D374" s="73">
        <f>SUM(D224)</f>
        <v>124366526.23</v>
      </c>
      <c r="E374" s="74">
        <f t="shared" si="35"/>
        <v>90.018891223950448</v>
      </c>
      <c r="F374" s="103"/>
      <c r="G374" s="56"/>
      <c r="H374" s="56"/>
    </row>
    <row r="375" spans="1:12" ht="14.25" x14ac:dyDescent="0.2">
      <c r="A375" s="72" t="s">
        <v>17</v>
      </c>
      <c r="B375" s="73">
        <f>SUM(B264)</f>
        <v>58706000</v>
      </c>
      <c r="C375" s="73">
        <f>SUM(C264)</f>
        <v>53490926.920000002</v>
      </c>
      <c r="D375" s="73">
        <f>SUM(D264)</f>
        <v>47344509.600000001</v>
      </c>
      <c r="E375" s="74">
        <f t="shared" si="35"/>
        <v>88.509420804779722</v>
      </c>
      <c r="G375" s="56"/>
      <c r="H375" s="56"/>
    </row>
    <row r="376" spans="1:12" ht="14.25" x14ac:dyDescent="0.2">
      <c r="A376" s="72" t="s">
        <v>13</v>
      </c>
      <c r="B376" s="73">
        <f>SUM(B311)</f>
        <v>176620000</v>
      </c>
      <c r="C376" s="73">
        <f>SUM(C311)</f>
        <v>169274393.92000002</v>
      </c>
      <c r="D376" s="73">
        <f>SUM(D311)</f>
        <v>155411084.78</v>
      </c>
      <c r="E376" s="74">
        <f t="shared" si="35"/>
        <v>91.810155795594284</v>
      </c>
      <c r="G376" s="56"/>
      <c r="H376" s="56"/>
    </row>
    <row r="377" spans="1:12" ht="14.25" x14ac:dyDescent="0.2">
      <c r="A377" s="72" t="s">
        <v>14</v>
      </c>
      <c r="B377" s="73">
        <f>SUM(B345)</f>
        <v>147836000</v>
      </c>
      <c r="C377" s="73">
        <f>SUM(C345)</f>
        <v>158846600.09999999</v>
      </c>
      <c r="D377" s="73">
        <f>SUM(D345)</f>
        <v>156514253.17000002</v>
      </c>
      <c r="E377" s="74">
        <f t="shared" si="35"/>
        <v>98.531698551601565</v>
      </c>
      <c r="G377" s="56"/>
      <c r="H377" s="56"/>
      <c r="I377" s="126" t="s">
        <v>35</v>
      </c>
      <c r="J377" s="127">
        <f>J135+J263+J310+J344+J221</f>
        <v>2480000</v>
      </c>
      <c r="K377" s="127">
        <f>K135+K263+K310+K344+K221</f>
        <v>7808000</v>
      </c>
      <c r="L377" s="127">
        <f>L135+L263+L310+L344+L221</f>
        <v>6970820</v>
      </c>
    </row>
    <row r="378" spans="1:12" ht="14.25" x14ac:dyDescent="0.2">
      <c r="A378" s="72" t="s">
        <v>43</v>
      </c>
      <c r="B378" s="73">
        <f>B355</f>
        <v>1650000</v>
      </c>
      <c r="C378" s="73">
        <f>C355</f>
        <v>0</v>
      </c>
      <c r="D378" s="73">
        <f>D355</f>
        <v>0</v>
      </c>
      <c r="E378" s="74">
        <v>0</v>
      </c>
      <c r="G378" s="56"/>
      <c r="H378" s="56"/>
      <c r="I378" s="115" t="s">
        <v>32</v>
      </c>
      <c r="J378" s="169">
        <f>J354+J342+J308+J261+J222+J136</f>
        <v>592830000</v>
      </c>
      <c r="K378" s="169">
        <f>K354+K342+K308+K261+K222+K136</f>
        <v>530307730.24000001</v>
      </c>
      <c r="L378" s="169">
        <f>L354+L342+L308+L261+L222+L136</f>
        <v>481377175.71000004</v>
      </c>
    </row>
    <row r="379" spans="1:12" ht="14.25" x14ac:dyDescent="0.2">
      <c r="A379" s="72" t="s">
        <v>52</v>
      </c>
      <c r="B379" s="73">
        <f>SUM(B369)</f>
        <v>22000000</v>
      </c>
      <c r="C379" s="73">
        <f>SUM(C369)</f>
        <v>33234000</v>
      </c>
      <c r="D379" s="73">
        <f>SUM(D369)</f>
        <v>32313651.059999999</v>
      </c>
      <c r="E379" s="74">
        <f t="shared" si="35"/>
        <v>97.230700667990604</v>
      </c>
      <c r="I379" s="120" t="s">
        <v>34</v>
      </c>
      <c r="J379" s="170">
        <f>J343+J309+J262+J223+J137</f>
        <v>134452000</v>
      </c>
      <c r="K379" s="170">
        <f>K343+K309+K262+K223+K137</f>
        <v>221596855.16999996</v>
      </c>
      <c r="L379" s="170">
        <f>L343+L309+L262+L223+L137</f>
        <v>221596855.16999996</v>
      </c>
    </row>
    <row r="380" spans="1:12" ht="15.75" thickBot="1" x14ac:dyDescent="0.25">
      <c r="A380" s="75" t="s">
        <v>3</v>
      </c>
      <c r="B380" s="76">
        <f>SUM(B373:B379)</f>
        <v>751762000</v>
      </c>
      <c r="C380" s="76">
        <f>SUM(C373:C379)</f>
        <v>792946585.41000009</v>
      </c>
      <c r="D380" s="76">
        <f>SUM(D373:D379)</f>
        <v>742258501.94000006</v>
      </c>
      <c r="E380" s="77">
        <f t="shared" si="35"/>
        <v>93.607629517215045</v>
      </c>
      <c r="I380" s="38" t="s">
        <v>39</v>
      </c>
      <c r="J380" s="195">
        <f t="shared" ref="J380:L381" si="36">J367</f>
        <v>0</v>
      </c>
      <c r="K380" s="195">
        <f t="shared" si="36"/>
        <v>3961000</v>
      </c>
      <c r="L380" s="195">
        <f t="shared" si="36"/>
        <v>3895526.27</v>
      </c>
    </row>
    <row r="381" spans="1:12" ht="13.5" thickTop="1" x14ac:dyDescent="0.2">
      <c r="F381" s="1"/>
      <c r="G381" s="1"/>
      <c r="H381" s="128"/>
      <c r="I381" s="38" t="s">
        <v>184</v>
      </c>
      <c r="J381" s="195">
        <f t="shared" si="36"/>
        <v>22000000</v>
      </c>
      <c r="K381" s="195">
        <f t="shared" si="36"/>
        <v>29273000</v>
      </c>
      <c r="L381" s="195">
        <f t="shared" si="36"/>
        <v>28418124.789999999</v>
      </c>
    </row>
    <row r="382" spans="1:12" ht="15.75" x14ac:dyDescent="0.25">
      <c r="F382" s="1"/>
      <c r="G382" s="1"/>
      <c r="I382" s="38"/>
      <c r="J382" s="598">
        <f>SUM(J377:J381)</f>
        <v>751762000</v>
      </c>
      <c r="K382" s="598">
        <f>SUM(K377:K381)</f>
        <v>792946585.40999997</v>
      </c>
      <c r="L382" s="598">
        <f>SUM(L377:L381)</f>
        <v>742258501.93999994</v>
      </c>
    </row>
    <row r="383" spans="1:12" ht="15" x14ac:dyDescent="0.25">
      <c r="F383" s="1"/>
      <c r="G383" s="1"/>
      <c r="I383" s="38"/>
      <c r="J383" s="123"/>
      <c r="K383" s="123"/>
      <c r="L383" s="123"/>
    </row>
    <row r="384" spans="1:12" x14ac:dyDescent="0.2">
      <c r="A384" s="122"/>
      <c r="B384" s="172"/>
      <c r="C384" s="172"/>
      <c r="D384" s="172"/>
      <c r="E384" s="2"/>
      <c r="F384" s="1"/>
      <c r="G384" s="1"/>
      <c r="I384" s="38"/>
    </row>
    <row r="385" spans="1:11" x14ac:dyDescent="0.2">
      <c r="A385" s="173"/>
      <c r="B385" s="174"/>
      <c r="C385" s="174"/>
      <c r="D385" s="174"/>
      <c r="E385" s="2"/>
      <c r="F385" s="1"/>
      <c r="G385" s="1"/>
    </row>
    <row r="386" spans="1:11" x14ac:dyDescent="0.2">
      <c r="A386" s="173"/>
      <c r="B386" s="174"/>
      <c r="C386" s="174"/>
      <c r="D386" s="174"/>
      <c r="E386" s="2"/>
      <c r="F386" s="1"/>
      <c r="G386" s="1"/>
      <c r="K386" s="4"/>
    </row>
    <row r="387" spans="1:11" x14ac:dyDescent="0.2">
      <c r="A387" s="173"/>
      <c r="B387" s="174"/>
      <c r="C387" s="174"/>
      <c r="D387" s="174"/>
      <c r="E387" s="2"/>
      <c r="F387" s="5"/>
      <c r="G387" s="5"/>
    </row>
    <row r="388" spans="1:11" x14ac:dyDescent="0.2">
      <c r="A388" s="121"/>
      <c r="B388" s="107"/>
      <c r="C388" s="107"/>
      <c r="D388" s="107"/>
      <c r="E388" s="2"/>
      <c r="F388" s="5"/>
      <c r="G388" s="5"/>
    </row>
    <row r="389" spans="1:11" x14ac:dyDescent="0.2">
      <c r="A389" s="121"/>
      <c r="B389" s="107"/>
      <c r="C389" s="107"/>
      <c r="D389" s="107"/>
      <c r="E389" s="2"/>
      <c r="F389" s="5"/>
      <c r="G389" s="5"/>
    </row>
    <row r="390" spans="1:11" x14ac:dyDescent="0.2">
      <c r="E390" s="5"/>
      <c r="F390" s="5"/>
      <c r="G390" s="5"/>
    </row>
    <row r="391" spans="1:11" x14ac:dyDescent="0.2">
      <c r="E391" s="5"/>
      <c r="F391" s="5"/>
      <c r="G391" s="5"/>
      <c r="I391" s="7"/>
      <c r="J391" s="7"/>
      <c r="K391" s="7"/>
    </row>
    <row r="392" spans="1:11" x14ac:dyDescent="0.2">
      <c r="E392" s="5"/>
      <c r="F392" s="5"/>
      <c r="G392" s="5"/>
    </row>
    <row r="393" spans="1:11" x14ac:dyDescent="0.2">
      <c r="E393" s="5"/>
      <c r="F393" s="5"/>
      <c r="G393" s="5"/>
    </row>
    <row r="394" spans="1:11" x14ac:dyDescent="0.2">
      <c r="E394" s="5"/>
    </row>
    <row r="395" spans="1:11" x14ac:dyDescent="0.2">
      <c r="E395" s="5"/>
    </row>
    <row r="396" spans="1:11" x14ac:dyDescent="0.2">
      <c r="E396" s="5"/>
    </row>
  </sheetData>
  <mergeCells count="1">
    <mergeCell ref="A302:A303"/>
  </mergeCells>
  <pageMargins left="0.78740157480314965" right="0.78740157480314965" top="0.98425196850393704" bottom="0.98425196850393704" header="0.51181102362204722" footer="0.51181102362204722"/>
  <pageSetup paperSize="9" scale="53" firstPageNumber="169" fitToHeight="5" orientation="portrait" useFirstPageNumber="1" r:id="rId1"/>
  <headerFooter alignWithMargins="0"/>
  <rowBreaks count="5" manualBreakCount="5">
    <brk id="73" max="3" man="1"/>
    <brk id="139" max="3" man="1"/>
    <brk id="225" max="3" man="1"/>
    <brk id="314" max="3" man="1"/>
    <brk id="385" max="4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29"/>
  <sheetViews>
    <sheetView showGridLines="0" view="pageBreakPreview" topLeftCell="A94" zoomScaleNormal="100" zoomScaleSheetLayoutView="100" workbookViewId="0">
      <selection activeCell="A55" sqref="A55:D56"/>
    </sheetView>
  </sheetViews>
  <sheetFormatPr defaultColWidth="9.140625" defaultRowHeight="12.75" x14ac:dyDescent="0.2"/>
  <cols>
    <col min="1" max="1" width="77.7109375" style="260" customWidth="1"/>
    <col min="2" max="2" width="17.140625" style="260" customWidth="1"/>
    <col min="3" max="3" width="19.85546875" style="260" customWidth="1"/>
    <col min="4" max="4" width="19.7109375" style="260" customWidth="1"/>
    <col min="5" max="5" width="7.5703125" style="261" customWidth="1"/>
    <col min="6" max="6" width="15.28515625" style="262" customWidth="1"/>
    <col min="7" max="7" width="19.140625" style="263" customWidth="1"/>
    <col min="8" max="8" width="32.5703125" style="263" customWidth="1"/>
    <col min="9" max="9" width="22.7109375" style="260" customWidth="1"/>
    <col min="10" max="10" width="18.28515625" style="260" customWidth="1"/>
    <col min="11" max="11" width="20.7109375" style="260" customWidth="1"/>
    <col min="12" max="12" width="17.5703125" style="260" customWidth="1"/>
    <col min="13" max="16384" width="9.140625" style="260"/>
  </cols>
  <sheetData>
    <row r="1" spans="1:11" s="256" customFormat="1" ht="18" x14ac:dyDescent="0.25">
      <c r="A1" s="252" t="s">
        <v>480</v>
      </c>
      <c r="B1" s="252"/>
      <c r="C1" s="252"/>
      <c r="D1" s="252"/>
      <c r="E1" s="252"/>
      <c r="F1" s="253"/>
      <c r="G1" s="254"/>
      <c r="H1" s="255"/>
    </row>
    <row r="2" spans="1:11" s="259" customFormat="1" ht="15.75" x14ac:dyDescent="0.25">
      <c r="A2" s="257" t="s">
        <v>162</v>
      </c>
      <c r="B2" s="258"/>
      <c r="C2" s="258"/>
      <c r="D2" s="258"/>
      <c r="E2" s="258"/>
      <c r="F2" s="253"/>
      <c r="G2" s="254"/>
      <c r="H2" s="255"/>
    </row>
    <row r="3" spans="1:11" ht="12" customHeight="1" x14ac:dyDescent="0.2">
      <c r="B3" s="256"/>
    </row>
    <row r="4" spans="1:11" ht="15" customHeight="1" x14ac:dyDescent="0.25">
      <c r="A4" s="264" t="s">
        <v>19</v>
      </c>
      <c r="B4" s="256"/>
    </row>
    <row r="5" spans="1:11" ht="15.75" thickBot="1" x14ac:dyDescent="0.3">
      <c r="A5" s="265" t="s">
        <v>112</v>
      </c>
      <c r="B5" s="256"/>
      <c r="D5" s="266"/>
      <c r="E5" s="267" t="s">
        <v>18</v>
      </c>
    </row>
    <row r="6" spans="1:11" ht="14.25" thickTop="1" thickBot="1" x14ac:dyDescent="0.25">
      <c r="A6" s="268" t="s">
        <v>5</v>
      </c>
      <c r="B6" s="269" t="s">
        <v>0</v>
      </c>
      <c r="C6" s="270" t="s">
        <v>1</v>
      </c>
      <c r="D6" s="271" t="s">
        <v>4</v>
      </c>
      <c r="E6" s="272" t="s">
        <v>6</v>
      </c>
    </row>
    <row r="7" spans="1:11" ht="15.75" thickTop="1" x14ac:dyDescent="0.25">
      <c r="A7" s="273" t="s">
        <v>7</v>
      </c>
      <c r="B7" s="274">
        <f>SUM(B8:B35)</f>
        <v>62949000</v>
      </c>
      <c r="C7" s="274">
        <f>SUM(C8:C35)</f>
        <v>96221264.909999996</v>
      </c>
      <c r="D7" s="274">
        <f>SUM(D8:D35)</f>
        <v>84759082.36999999</v>
      </c>
      <c r="E7" s="275">
        <f>D7/C7*100</f>
        <v>88.087682540110961</v>
      </c>
      <c r="H7" s="276"/>
      <c r="I7" s="277"/>
      <c r="J7" s="278"/>
      <c r="K7" s="279"/>
    </row>
    <row r="8" spans="1:11" x14ac:dyDescent="0.2">
      <c r="A8" s="441" t="s">
        <v>113</v>
      </c>
      <c r="B8" s="480">
        <v>200000</v>
      </c>
      <c r="C8" s="442">
        <v>596200</v>
      </c>
      <c r="D8" s="442">
        <v>475530</v>
      </c>
      <c r="E8" s="443">
        <f t="shared" ref="E8" si="0">D8/C8*100</f>
        <v>79.760147601476021</v>
      </c>
      <c r="F8" s="262">
        <v>100661</v>
      </c>
      <c r="G8" s="281" t="s">
        <v>114</v>
      </c>
      <c r="H8" s="276"/>
      <c r="I8" s="277"/>
      <c r="J8" s="278"/>
      <c r="K8" s="279"/>
    </row>
    <row r="9" spans="1:11" x14ac:dyDescent="0.2">
      <c r="A9" s="647" t="s">
        <v>464</v>
      </c>
      <c r="B9" s="480">
        <v>19068000</v>
      </c>
      <c r="C9" s="442">
        <v>19068000</v>
      </c>
      <c r="D9" s="442">
        <f>10491597.29+6373593.01</f>
        <v>16865190.299999997</v>
      </c>
      <c r="E9" s="443">
        <f t="shared" ref="E9:E10" si="1">D9/C9*100</f>
        <v>88.447610132158573</v>
      </c>
      <c r="F9" s="262">
        <v>101113</v>
      </c>
      <c r="G9" s="284" t="s">
        <v>114</v>
      </c>
      <c r="H9" s="276"/>
      <c r="I9" s="277"/>
      <c r="J9" s="278"/>
      <c r="K9" s="279"/>
    </row>
    <row r="10" spans="1:11" x14ac:dyDescent="0.2">
      <c r="A10" s="628"/>
      <c r="B10" s="480">
        <v>0</v>
      </c>
      <c r="C10" s="442">
        <v>7070659.3200000003</v>
      </c>
      <c r="D10" s="442">
        <v>6994398.2000000002</v>
      </c>
      <c r="E10" s="443">
        <f t="shared" si="1"/>
        <v>98.921442590448549</v>
      </c>
      <c r="F10" s="262">
        <v>101113</v>
      </c>
      <c r="G10" s="429" t="s">
        <v>260</v>
      </c>
      <c r="H10" s="592">
        <f>C10-D10</f>
        <v>76261.120000000112</v>
      </c>
      <c r="I10" s="277"/>
      <c r="J10" s="278"/>
      <c r="K10" s="279"/>
    </row>
    <row r="11" spans="1:11" x14ac:dyDescent="0.2">
      <c r="A11" s="585" t="s">
        <v>115</v>
      </c>
      <c r="B11" s="480">
        <v>2650000</v>
      </c>
      <c r="C11" s="442">
        <v>0</v>
      </c>
      <c r="D11" s="442">
        <v>0</v>
      </c>
      <c r="E11" s="443">
        <v>0</v>
      </c>
      <c r="F11" s="262">
        <v>101120</v>
      </c>
      <c r="G11" s="284" t="s">
        <v>114</v>
      </c>
      <c r="H11" s="276"/>
      <c r="I11" s="277"/>
      <c r="J11" s="278"/>
      <c r="K11" s="279"/>
    </row>
    <row r="12" spans="1:11" s="288" customFormat="1" ht="25.5" customHeight="1" x14ac:dyDescent="0.2">
      <c r="A12" s="585" t="s">
        <v>277</v>
      </c>
      <c r="B12" s="480">
        <v>3000000</v>
      </c>
      <c r="C12" s="444">
        <v>0</v>
      </c>
      <c r="D12" s="444">
        <v>0</v>
      </c>
      <c r="E12" s="443">
        <v>0</v>
      </c>
      <c r="F12" s="285">
        <v>101218</v>
      </c>
      <c r="G12" s="284" t="s">
        <v>114</v>
      </c>
      <c r="H12" s="287"/>
    </row>
    <row r="13" spans="1:11" s="288" customFormat="1" ht="12.75" customHeight="1" x14ac:dyDescent="0.2">
      <c r="A13" s="647" t="s">
        <v>278</v>
      </c>
      <c r="B13" s="480">
        <v>6668000</v>
      </c>
      <c r="C13" s="444">
        <v>9633660.5299999993</v>
      </c>
      <c r="D13" s="444">
        <f>3435661.34+3083207.77</f>
        <v>6518869.1099999994</v>
      </c>
      <c r="E13" s="443">
        <f t="shared" ref="E13:E32" si="2">D13/C13*100</f>
        <v>67.667623222758493</v>
      </c>
      <c r="F13" s="285">
        <v>101251</v>
      </c>
      <c r="G13" s="284" t="s">
        <v>114</v>
      </c>
      <c r="H13" s="287"/>
    </row>
    <row r="14" spans="1:11" s="288" customFormat="1" ht="12.75" customHeight="1" x14ac:dyDescent="0.2">
      <c r="A14" s="628"/>
      <c r="B14" s="480">
        <v>0</v>
      </c>
      <c r="C14" s="444">
        <v>7984882.54</v>
      </c>
      <c r="D14" s="444">
        <v>7984882.54</v>
      </c>
      <c r="E14" s="443">
        <f t="shared" si="2"/>
        <v>100</v>
      </c>
      <c r="F14" s="262">
        <v>101251</v>
      </c>
      <c r="G14" s="429" t="s">
        <v>260</v>
      </c>
      <c r="H14" s="287"/>
    </row>
    <row r="15" spans="1:11" s="288" customFormat="1" ht="25.5" customHeight="1" x14ac:dyDescent="0.2">
      <c r="A15" s="647" t="s">
        <v>388</v>
      </c>
      <c r="B15" s="480">
        <v>14536000</v>
      </c>
      <c r="C15" s="444">
        <v>29522113.57</v>
      </c>
      <c r="D15" s="444">
        <f>5740712.64+15693448.86+3777002.46</f>
        <v>25211163.960000001</v>
      </c>
      <c r="E15" s="443">
        <f t="shared" si="2"/>
        <v>85.397557665448687</v>
      </c>
      <c r="F15" s="285">
        <v>101283</v>
      </c>
      <c r="G15" s="284" t="s">
        <v>114</v>
      </c>
      <c r="H15" s="287"/>
    </row>
    <row r="16" spans="1:11" s="288" customFormat="1" x14ac:dyDescent="0.2">
      <c r="A16" s="628"/>
      <c r="B16" s="480">
        <v>0</v>
      </c>
      <c r="C16" s="444">
        <v>75208.95</v>
      </c>
      <c r="D16" s="444">
        <v>75208.95</v>
      </c>
      <c r="E16" s="443">
        <f t="shared" si="2"/>
        <v>100</v>
      </c>
      <c r="F16" s="285">
        <v>101283</v>
      </c>
      <c r="G16" s="429" t="s">
        <v>260</v>
      </c>
      <c r="H16" s="287"/>
    </row>
    <row r="17" spans="1:8" s="288" customFormat="1" x14ac:dyDescent="0.2">
      <c r="A17" s="441" t="s">
        <v>279</v>
      </c>
      <c r="B17" s="480">
        <v>200000</v>
      </c>
      <c r="C17" s="444">
        <v>65630</v>
      </c>
      <c r="D17" s="444">
        <v>37680</v>
      </c>
      <c r="E17" s="443">
        <f t="shared" si="2"/>
        <v>57.412768550967542</v>
      </c>
      <c r="F17" s="285">
        <v>101315</v>
      </c>
      <c r="G17" s="284" t="s">
        <v>114</v>
      </c>
      <c r="H17" s="287"/>
    </row>
    <row r="18" spans="1:8" s="288" customFormat="1" x14ac:dyDescent="0.2">
      <c r="A18" s="441" t="s">
        <v>280</v>
      </c>
      <c r="B18" s="480">
        <v>733000</v>
      </c>
      <c r="C18" s="444">
        <v>0</v>
      </c>
      <c r="D18" s="444">
        <v>0</v>
      </c>
      <c r="E18" s="443">
        <v>0</v>
      </c>
      <c r="F18" s="285">
        <v>101351</v>
      </c>
      <c r="G18" s="284" t="s">
        <v>114</v>
      </c>
      <c r="H18" s="287"/>
    </row>
    <row r="19" spans="1:8" s="288" customFormat="1" x14ac:dyDescent="0.2">
      <c r="A19" s="626" t="s">
        <v>281</v>
      </c>
      <c r="B19" s="480">
        <v>9672000</v>
      </c>
      <c r="C19" s="444">
        <v>8355582.3499999996</v>
      </c>
      <c r="D19" s="444">
        <f>186067.02+5069.9+690604.45+7426511.83+47329.15</f>
        <v>8355582.3500000006</v>
      </c>
      <c r="E19" s="443">
        <f t="shared" si="2"/>
        <v>100.00000000000003</v>
      </c>
      <c r="F19" s="285">
        <v>101352</v>
      </c>
      <c r="G19" s="284" t="s">
        <v>114</v>
      </c>
      <c r="H19" s="287"/>
    </row>
    <row r="20" spans="1:8" s="288" customFormat="1" x14ac:dyDescent="0.2">
      <c r="A20" s="631"/>
      <c r="B20" s="480">
        <v>0</v>
      </c>
      <c r="C20" s="444">
        <v>4406197.13</v>
      </c>
      <c r="D20" s="444">
        <f>4151357.05+254840.08</f>
        <v>4406197.13</v>
      </c>
      <c r="E20" s="443">
        <f t="shared" si="2"/>
        <v>100</v>
      </c>
      <c r="F20" s="285">
        <v>101352</v>
      </c>
      <c r="G20" s="429" t="s">
        <v>260</v>
      </c>
      <c r="H20" s="287"/>
    </row>
    <row r="21" spans="1:8" s="288" customFormat="1" x14ac:dyDescent="0.2">
      <c r="A21" s="626" t="s">
        <v>282</v>
      </c>
      <c r="B21" s="480">
        <v>516000</v>
      </c>
      <c r="C21" s="444">
        <v>527694.43000000005</v>
      </c>
      <c r="D21" s="444">
        <f>163188.28+364506.15</f>
        <v>527694.43000000005</v>
      </c>
      <c r="E21" s="443">
        <f t="shared" si="2"/>
        <v>100</v>
      </c>
      <c r="F21" s="285">
        <v>101353</v>
      </c>
      <c r="G21" s="284" t="s">
        <v>114</v>
      </c>
      <c r="H21" s="287"/>
    </row>
    <row r="22" spans="1:8" s="288" customFormat="1" x14ac:dyDescent="0.2">
      <c r="A22" s="631"/>
      <c r="B22" s="480">
        <v>0</v>
      </c>
      <c r="C22" s="444">
        <v>1468694.52</v>
      </c>
      <c r="D22" s="444">
        <f>1387100.38+81594.14</f>
        <v>1468694.5199999998</v>
      </c>
      <c r="E22" s="443">
        <f t="shared" si="2"/>
        <v>99.999999999999986</v>
      </c>
      <c r="F22" s="285">
        <v>101353</v>
      </c>
      <c r="G22" s="429" t="s">
        <v>260</v>
      </c>
      <c r="H22" s="287"/>
    </row>
    <row r="23" spans="1:8" s="288" customFormat="1" x14ac:dyDescent="0.2">
      <c r="A23" s="569" t="s">
        <v>359</v>
      </c>
      <c r="B23" s="480">
        <v>0</v>
      </c>
      <c r="C23" s="444">
        <v>10000</v>
      </c>
      <c r="D23" s="444">
        <v>10000</v>
      </c>
      <c r="E23" s="443">
        <f t="shared" si="2"/>
        <v>100</v>
      </c>
      <c r="F23" s="285">
        <v>101354</v>
      </c>
      <c r="G23" s="284" t="s">
        <v>114</v>
      </c>
      <c r="H23" s="287"/>
    </row>
    <row r="24" spans="1:8" s="288" customFormat="1" ht="25.5" x14ac:dyDescent="0.2">
      <c r="A24" s="585" t="s">
        <v>313</v>
      </c>
      <c r="B24" s="480">
        <v>100000</v>
      </c>
      <c r="C24" s="444">
        <v>66000</v>
      </c>
      <c r="D24" s="444">
        <v>31460</v>
      </c>
      <c r="E24" s="443">
        <f t="shared" si="2"/>
        <v>47.666666666666671</v>
      </c>
      <c r="F24" s="285">
        <v>101363</v>
      </c>
      <c r="G24" s="284" t="s">
        <v>114</v>
      </c>
      <c r="H24" s="287"/>
    </row>
    <row r="25" spans="1:8" s="288" customFormat="1" ht="25.5" x14ac:dyDescent="0.2">
      <c r="A25" s="569" t="s">
        <v>360</v>
      </c>
      <c r="B25" s="480">
        <v>348000</v>
      </c>
      <c r="C25" s="444">
        <v>0</v>
      </c>
      <c r="D25" s="444">
        <v>0</v>
      </c>
      <c r="E25" s="443">
        <v>0</v>
      </c>
      <c r="F25" s="285">
        <v>101419</v>
      </c>
      <c r="G25" s="284" t="s">
        <v>114</v>
      </c>
      <c r="H25" s="287"/>
    </row>
    <row r="26" spans="1:8" s="288" customFormat="1" ht="25.5" x14ac:dyDescent="0.2">
      <c r="A26" s="575" t="s">
        <v>361</v>
      </c>
      <c r="B26" s="480">
        <v>1327000</v>
      </c>
      <c r="C26" s="444">
        <v>5445</v>
      </c>
      <c r="D26" s="444">
        <v>2178</v>
      </c>
      <c r="E26" s="443">
        <f t="shared" si="2"/>
        <v>40</v>
      </c>
      <c r="F26" s="285">
        <v>101420</v>
      </c>
      <c r="G26" s="284" t="s">
        <v>114</v>
      </c>
      <c r="H26" s="287"/>
    </row>
    <row r="27" spans="1:8" s="288" customFormat="1" x14ac:dyDescent="0.2">
      <c r="A27" s="569" t="s">
        <v>362</v>
      </c>
      <c r="B27" s="480">
        <v>903000</v>
      </c>
      <c r="C27" s="444">
        <v>0</v>
      </c>
      <c r="D27" s="444">
        <v>0</v>
      </c>
      <c r="E27" s="443">
        <v>0</v>
      </c>
      <c r="F27" s="285">
        <v>101422</v>
      </c>
      <c r="G27" s="284" t="s">
        <v>114</v>
      </c>
      <c r="H27" s="287"/>
    </row>
    <row r="28" spans="1:8" s="288" customFormat="1" ht="25.5" x14ac:dyDescent="0.2">
      <c r="A28" s="569" t="s">
        <v>363</v>
      </c>
      <c r="B28" s="480">
        <v>1453000</v>
      </c>
      <c r="C28" s="444">
        <v>0</v>
      </c>
      <c r="D28" s="444">
        <v>0</v>
      </c>
      <c r="E28" s="443">
        <v>0</v>
      </c>
      <c r="F28" s="285">
        <v>101423</v>
      </c>
      <c r="G28" s="284" t="s">
        <v>114</v>
      </c>
      <c r="H28" s="287"/>
    </row>
    <row r="29" spans="1:8" s="288" customFormat="1" ht="25.5" x14ac:dyDescent="0.2">
      <c r="A29" s="569" t="s">
        <v>465</v>
      </c>
      <c r="B29" s="480">
        <v>100000</v>
      </c>
      <c r="C29" s="444">
        <v>100000</v>
      </c>
      <c r="D29" s="444">
        <v>0</v>
      </c>
      <c r="E29" s="443">
        <f t="shared" si="2"/>
        <v>0</v>
      </c>
      <c r="F29" s="285">
        <v>101445</v>
      </c>
      <c r="G29" s="284" t="s">
        <v>114</v>
      </c>
      <c r="H29" s="287"/>
    </row>
    <row r="30" spans="1:8" s="288" customFormat="1" x14ac:dyDescent="0.2">
      <c r="A30" s="626" t="s">
        <v>466</v>
      </c>
      <c r="B30" s="480">
        <v>1003000</v>
      </c>
      <c r="C30" s="444">
        <v>1816400</v>
      </c>
      <c r="D30" s="444">
        <f>708597.74+471734.75</f>
        <v>1180332.49</v>
      </c>
      <c r="E30" s="443">
        <f t="shared" si="2"/>
        <v>64.981969279894287</v>
      </c>
      <c r="F30" s="285">
        <v>101446</v>
      </c>
      <c r="G30" s="284" t="s">
        <v>114</v>
      </c>
      <c r="H30" s="287"/>
    </row>
    <row r="31" spans="1:8" s="288" customFormat="1" x14ac:dyDescent="0.2">
      <c r="A31" s="631"/>
      <c r="B31" s="480">
        <v>0</v>
      </c>
      <c r="C31" s="444">
        <v>1653394.72</v>
      </c>
      <c r="D31" s="444">
        <v>1653394.72</v>
      </c>
      <c r="E31" s="443">
        <f t="shared" si="2"/>
        <v>100</v>
      </c>
      <c r="F31" s="285">
        <v>101446</v>
      </c>
      <c r="G31" s="429" t="s">
        <v>260</v>
      </c>
      <c r="H31" s="287"/>
    </row>
    <row r="32" spans="1:8" s="288" customFormat="1" x14ac:dyDescent="0.2">
      <c r="A32" s="441" t="s">
        <v>467</v>
      </c>
      <c r="B32" s="480">
        <v>200000</v>
      </c>
      <c r="C32" s="444">
        <v>172170</v>
      </c>
      <c r="D32" s="444">
        <v>0</v>
      </c>
      <c r="E32" s="443">
        <f t="shared" si="2"/>
        <v>0</v>
      </c>
      <c r="F32" s="285">
        <v>101450</v>
      </c>
      <c r="G32" s="284" t="s">
        <v>114</v>
      </c>
      <c r="H32" s="287"/>
    </row>
    <row r="33" spans="1:12" s="288" customFormat="1" x14ac:dyDescent="0.2">
      <c r="A33" s="441" t="s">
        <v>468</v>
      </c>
      <c r="B33" s="480">
        <v>200000</v>
      </c>
      <c r="C33" s="444">
        <v>0</v>
      </c>
      <c r="D33" s="444">
        <v>0</v>
      </c>
      <c r="E33" s="443">
        <v>0</v>
      </c>
      <c r="F33" s="285">
        <v>101451</v>
      </c>
      <c r="G33" s="284" t="s">
        <v>114</v>
      </c>
      <c r="H33" s="287"/>
    </row>
    <row r="34" spans="1:12" s="288" customFormat="1" x14ac:dyDescent="0.2">
      <c r="A34" s="626" t="s">
        <v>364</v>
      </c>
      <c r="B34" s="482">
        <v>72000</v>
      </c>
      <c r="C34" s="326">
        <v>958768.8</v>
      </c>
      <c r="D34" s="326">
        <v>304404.51</v>
      </c>
      <c r="E34" s="283">
        <f t="shared" ref="E34:E35" si="3">D34/C34*100</f>
        <v>31.749521886819849</v>
      </c>
      <c r="F34" s="285">
        <v>101355</v>
      </c>
      <c r="G34" s="571" t="s">
        <v>354</v>
      </c>
      <c r="H34" s="289"/>
    </row>
    <row r="35" spans="1:12" s="288" customFormat="1" ht="13.5" thickBot="1" x14ac:dyDescent="0.25">
      <c r="A35" s="627"/>
      <c r="B35" s="483">
        <v>0</v>
      </c>
      <c r="C35" s="445">
        <v>2664563.0499999998</v>
      </c>
      <c r="D35" s="445">
        <v>2656221.16</v>
      </c>
      <c r="E35" s="422">
        <f t="shared" si="3"/>
        <v>99.686932159477337</v>
      </c>
      <c r="F35" s="285">
        <v>101355</v>
      </c>
      <c r="G35" s="429" t="s">
        <v>400</v>
      </c>
      <c r="H35" s="289">
        <f>C35-D35</f>
        <v>8341.8899999996647</v>
      </c>
    </row>
    <row r="36" spans="1:12" s="288" customFormat="1" ht="13.5" thickTop="1" x14ac:dyDescent="0.2">
      <c r="A36" s="291"/>
      <c r="B36" s="292"/>
      <c r="C36" s="293"/>
      <c r="D36" s="293"/>
      <c r="E36" s="294"/>
      <c r="F36" s="285"/>
      <c r="G36" s="290"/>
      <c r="H36" s="289"/>
    </row>
    <row r="37" spans="1:12" ht="15.75" thickBot="1" x14ac:dyDescent="0.25">
      <c r="A37" s="295" t="s">
        <v>29</v>
      </c>
      <c r="B37" s="484"/>
      <c r="C37" s="296"/>
      <c r="D37" s="297"/>
      <c r="E37" s="298" t="s">
        <v>18</v>
      </c>
    </row>
    <row r="38" spans="1:12" ht="14.25" thickTop="1" thickBot="1" x14ac:dyDescent="0.25">
      <c r="A38" s="268" t="s">
        <v>5</v>
      </c>
      <c r="B38" s="269" t="s">
        <v>0</v>
      </c>
      <c r="C38" s="270" t="s">
        <v>1</v>
      </c>
      <c r="D38" s="271" t="s">
        <v>4</v>
      </c>
      <c r="E38" s="272" t="s">
        <v>6</v>
      </c>
    </row>
    <row r="39" spans="1:12" ht="15.75" thickTop="1" x14ac:dyDescent="0.2">
      <c r="A39" s="273" t="s">
        <v>7</v>
      </c>
      <c r="B39" s="274">
        <f>SUM(B40:B46)</f>
        <v>7317000</v>
      </c>
      <c r="C39" s="274">
        <f>SUM(C40:C46)</f>
        <v>6798605.5499999998</v>
      </c>
      <c r="D39" s="274">
        <f>SUM(D40:D46)</f>
        <v>6758009.1600000001</v>
      </c>
      <c r="E39" s="299">
        <f>D39/C39*100</f>
        <v>99.402871813911915</v>
      </c>
      <c r="F39" s="261"/>
    </row>
    <row r="40" spans="1:12" x14ac:dyDescent="0.2">
      <c r="A40" s="379" t="s">
        <v>290</v>
      </c>
      <c r="B40" s="482">
        <v>1850000</v>
      </c>
      <c r="C40" s="326">
        <v>185000</v>
      </c>
      <c r="D40" s="326">
        <v>182710</v>
      </c>
      <c r="E40" s="283">
        <f t="shared" ref="E40:E46" si="4">D40/C40*100</f>
        <v>98.762162162162156</v>
      </c>
      <c r="F40" s="285">
        <v>1123</v>
      </c>
      <c r="G40" s="300" t="s">
        <v>357</v>
      </c>
    </row>
    <row r="41" spans="1:12" x14ac:dyDescent="0.2">
      <c r="A41" s="379" t="s">
        <v>217</v>
      </c>
      <c r="B41" s="482">
        <v>1600000</v>
      </c>
      <c r="C41" s="326">
        <v>185000</v>
      </c>
      <c r="D41" s="326">
        <v>179080</v>
      </c>
      <c r="E41" s="283">
        <f t="shared" si="4"/>
        <v>96.8</v>
      </c>
      <c r="F41" s="285">
        <v>1132</v>
      </c>
      <c r="G41" s="300" t="s">
        <v>357</v>
      </c>
    </row>
    <row r="42" spans="1:12" x14ac:dyDescent="0.2">
      <c r="A42" s="379" t="s">
        <v>212</v>
      </c>
      <c r="B42" s="482">
        <v>1852000</v>
      </c>
      <c r="C42" s="326">
        <v>186000</v>
      </c>
      <c r="D42" s="326">
        <v>177372</v>
      </c>
      <c r="E42" s="283">
        <f t="shared" si="4"/>
        <v>95.361290322580643</v>
      </c>
      <c r="F42" s="285">
        <v>1134</v>
      </c>
      <c r="G42" s="300" t="s">
        <v>268</v>
      </c>
    </row>
    <row r="43" spans="1:12" ht="12.75" customHeight="1" x14ac:dyDescent="0.2">
      <c r="A43" s="568" t="s">
        <v>220</v>
      </c>
      <c r="B43" s="482">
        <v>0</v>
      </c>
      <c r="C43" s="326">
        <v>192628</v>
      </c>
      <c r="D43" s="326">
        <v>178075.61</v>
      </c>
      <c r="E43" s="283">
        <f t="shared" si="4"/>
        <v>92.44534024129409</v>
      </c>
      <c r="F43" s="285">
        <v>1142</v>
      </c>
      <c r="G43" s="300" t="s">
        <v>357</v>
      </c>
      <c r="I43" s="281" t="s">
        <v>40</v>
      </c>
      <c r="J43" s="310">
        <f>B8+B9+B11+B12+B13+B15+B17+B18+B19+B21+B23+B24+B25+B26+B27+B28+B29+B30+B32+B33</f>
        <v>62877000</v>
      </c>
      <c r="K43" s="310">
        <f>C8+C9+C11+C12+C13+C15+C17+C18+C19+C21+C23+C24+C25+C26+C27+C28+C29+C30+C32+C33</f>
        <v>69938895.88000001</v>
      </c>
      <c r="L43" s="310">
        <f>D8+D9+D11+D12+D13+D15+D17+D18+D19+D21+D23+D24+D25+D26+D27+D28+D29+D30+D32+D33</f>
        <v>59215680.640000001</v>
      </c>
    </row>
    <row r="44" spans="1:12" ht="25.5" x14ac:dyDescent="0.2">
      <c r="A44" s="379" t="s">
        <v>222</v>
      </c>
      <c r="B44" s="482">
        <v>163000</v>
      </c>
      <c r="C44" s="326">
        <v>250069.24</v>
      </c>
      <c r="D44" s="326">
        <v>250069.24</v>
      </c>
      <c r="E44" s="283">
        <f t="shared" si="4"/>
        <v>100</v>
      </c>
      <c r="F44" s="285">
        <v>1175</v>
      </c>
      <c r="G44" s="300" t="s">
        <v>357</v>
      </c>
      <c r="J44" s="534">
        <f>B10+B14+B16+B20+B22+B31</f>
        <v>0</v>
      </c>
      <c r="K44" s="534">
        <f t="shared" ref="K44:L44" si="5">C10+C14+C16+C20+C22+C31</f>
        <v>22659037.179999996</v>
      </c>
      <c r="L44" s="534">
        <f t="shared" si="5"/>
        <v>22582776.059999999</v>
      </c>
    </row>
    <row r="45" spans="1:12" x14ac:dyDescent="0.2">
      <c r="A45" s="441" t="s">
        <v>225</v>
      </c>
      <c r="B45" s="480">
        <v>1852000</v>
      </c>
      <c r="C45" s="444">
        <v>186000</v>
      </c>
      <c r="D45" s="444">
        <v>176794</v>
      </c>
      <c r="E45" s="443">
        <f t="shared" si="4"/>
        <v>95.050537634408599</v>
      </c>
      <c r="F45" s="285">
        <v>1226</v>
      </c>
      <c r="G45" s="300" t="s">
        <v>357</v>
      </c>
      <c r="I45" s="427" t="s">
        <v>36</v>
      </c>
      <c r="J45" s="425">
        <f t="shared" ref="J45:L45" si="6">B34</f>
        <v>72000</v>
      </c>
      <c r="K45" s="425">
        <f t="shared" si="6"/>
        <v>958768.8</v>
      </c>
      <c r="L45" s="425">
        <f t="shared" si="6"/>
        <v>304404.51</v>
      </c>
    </row>
    <row r="46" spans="1:12" ht="13.5" thickBot="1" x14ac:dyDescent="0.25">
      <c r="A46" s="609" t="s">
        <v>492</v>
      </c>
      <c r="B46" s="483">
        <v>0</v>
      </c>
      <c r="C46" s="445">
        <v>5613908.3099999996</v>
      </c>
      <c r="D46" s="445">
        <v>5613908.3099999996</v>
      </c>
      <c r="E46" s="422">
        <f t="shared" si="4"/>
        <v>100</v>
      </c>
      <c r="F46" s="285">
        <v>1142</v>
      </c>
      <c r="G46" s="531" t="s">
        <v>482</v>
      </c>
      <c r="J46" s="534">
        <f>B35</f>
        <v>0</v>
      </c>
      <c r="K46" s="534">
        <f>C35</f>
        <v>2664563.0499999998</v>
      </c>
      <c r="L46" s="534">
        <f>D35</f>
        <v>2656221.16</v>
      </c>
    </row>
    <row r="47" spans="1:12" s="304" customFormat="1" ht="13.5" thickTop="1" x14ac:dyDescent="0.2">
      <c r="A47" s="308"/>
      <c r="B47" s="292"/>
      <c r="C47" s="309"/>
      <c r="D47" s="292"/>
      <c r="E47" s="294"/>
      <c r="F47" s="306"/>
      <c r="G47" s="305"/>
      <c r="I47" s="311" t="s">
        <v>34</v>
      </c>
      <c r="J47" s="312">
        <f>B39</f>
        <v>7317000</v>
      </c>
      <c r="K47" s="312">
        <f t="shared" ref="K47:L47" si="7">C39</f>
        <v>6798605.5499999998</v>
      </c>
      <c r="L47" s="312">
        <f t="shared" si="7"/>
        <v>6758009.1600000001</v>
      </c>
    </row>
    <row r="48" spans="1:12" s="304" customFormat="1" x14ac:dyDescent="0.2">
      <c r="A48" s="308"/>
      <c r="B48" s="292"/>
      <c r="C48" s="309"/>
      <c r="D48" s="292"/>
      <c r="E48" s="294"/>
      <c r="F48" s="306"/>
      <c r="G48" s="305"/>
      <c r="H48" s="300"/>
      <c r="J48" s="610">
        <f>B46</f>
        <v>0</v>
      </c>
      <c r="K48" s="610">
        <f>C46</f>
        <v>5613908.3099999996</v>
      </c>
      <c r="L48" s="610">
        <f>D46</f>
        <v>5613908.3099999996</v>
      </c>
    </row>
    <row r="49" spans="1:12" s="318" customFormat="1" ht="18.75" thickBot="1" x14ac:dyDescent="0.3">
      <c r="A49" s="313" t="s">
        <v>20</v>
      </c>
      <c r="B49" s="485">
        <f>SUM(B39,B7)</f>
        <v>70266000</v>
      </c>
      <c r="C49" s="485">
        <f t="shared" ref="C49:D49" si="8">SUM(C39,C7)</f>
        <v>103019870.45999999</v>
      </c>
      <c r="D49" s="485">
        <f t="shared" si="8"/>
        <v>91517091.529999986</v>
      </c>
      <c r="E49" s="315">
        <f>D49/C49*100</f>
        <v>88.834407499603444</v>
      </c>
      <c r="F49" s="316"/>
      <c r="G49" s="317"/>
      <c r="H49" s="317"/>
      <c r="I49" s="281"/>
      <c r="J49" s="286">
        <f>SUM(J43:J47)</f>
        <v>70266000</v>
      </c>
      <c r="K49" s="286">
        <f t="shared" ref="K49:L49" si="9">SUM(K43:K47)</f>
        <v>103019870.45999999</v>
      </c>
      <c r="L49" s="286">
        <f t="shared" si="9"/>
        <v>91517091.530000001</v>
      </c>
    </row>
    <row r="50" spans="1:12" ht="13.5" thickTop="1" x14ac:dyDescent="0.2">
      <c r="A50" s="319"/>
      <c r="B50" s="292"/>
      <c r="C50" s="320"/>
      <c r="D50" s="321"/>
      <c r="E50" s="294"/>
      <c r="F50" s="261"/>
    </row>
    <row r="51" spans="1:12" x14ac:dyDescent="0.2">
      <c r="A51" s="319"/>
      <c r="B51" s="292"/>
      <c r="C51" s="320"/>
      <c r="D51" s="321"/>
      <c r="E51" s="294"/>
      <c r="F51" s="261"/>
    </row>
    <row r="52" spans="1:12" ht="18" x14ac:dyDescent="0.25">
      <c r="A52" s="264" t="s">
        <v>28</v>
      </c>
      <c r="B52" s="256"/>
    </row>
    <row r="53" spans="1:12" ht="15" customHeight="1" thickBot="1" x14ac:dyDescent="0.3">
      <c r="A53" s="265" t="s">
        <v>101</v>
      </c>
      <c r="B53" s="256"/>
      <c r="E53" s="267" t="s">
        <v>18</v>
      </c>
    </row>
    <row r="54" spans="1:12" ht="14.25" thickTop="1" thickBot="1" x14ac:dyDescent="0.25">
      <c r="A54" s="268" t="s">
        <v>5</v>
      </c>
      <c r="B54" s="269" t="s">
        <v>0</v>
      </c>
      <c r="C54" s="270" t="s">
        <v>1</v>
      </c>
      <c r="D54" s="271" t="s">
        <v>4</v>
      </c>
      <c r="E54" s="272" t="s">
        <v>6</v>
      </c>
    </row>
    <row r="55" spans="1:12" ht="15.75" thickTop="1" x14ac:dyDescent="0.25">
      <c r="A55" s="273" t="s">
        <v>9</v>
      </c>
      <c r="B55" s="274">
        <f>SUM(B56:B70)</f>
        <v>53780000</v>
      </c>
      <c r="C55" s="274">
        <f>SUM(C56:C70)</f>
        <v>80104953.100000009</v>
      </c>
      <c r="D55" s="274">
        <f>SUM(D56:D70)</f>
        <v>60283810.140000001</v>
      </c>
      <c r="E55" s="275">
        <f>D55/C55*100</f>
        <v>75.256033250208588</v>
      </c>
      <c r="F55" s="322"/>
    </row>
    <row r="56" spans="1:12" s="324" customFormat="1" x14ac:dyDescent="0.2">
      <c r="A56" s="626" t="s">
        <v>80</v>
      </c>
      <c r="B56" s="480">
        <v>10571000</v>
      </c>
      <c r="C56" s="444">
        <v>10571000</v>
      </c>
      <c r="D56" s="444">
        <f>77310.52+1556220.07</f>
        <v>1633530.59</v>
      </c>
      <c r="E56" s="443">
        <f>D56/C56*100</f>
        <v>15.452942862548483</v>
      </c>
      <c r="F56" s="513">
        <v>101137</v>
      </c>
      <c r="G56" s="284" t="s">
        <v>114</v>
      </c>
    </row>
    <row r="57" spans="1:12" s="324" customFormat="1" x14ac:dyDescent="0.2">
      <c r="A57" s="631"/>
      <c r="B57" s="480">
        <v>0</v>
      </c>
      <c r="C57" s="444">
        <v>695794.65</v>
      </c>
      <c r="D57" s="444">
        <f>657139.4+38655.25</f>
        <v>695794.65</v>
      </c>
      <c r="E57" s="443">
        <f>D57/C57*100</f>
        <v>100</v>
      </c>
      <c r="F57" s="513">
        <v>101137</v>
      </c>
      <c r="G57" s="429" t="s">
        <v>261</v>
      </c>
    </row>
    <row r="58" spans="1:12" s="324" customFormat="1" ht="20.25" customHeight="1" x14ac:dyDescent="0.2">
      <c r="A58" s="652" t="s">
        <v>117</v>
      </c>
      <c r="B58" s="481">
        <v>1318000</v>
      </c>
      <c r="C58" s="325">
        <v>5229419.2</v>
      </c>
      <c r="D58" s="325">
        <v>4761931.8899999997</v>
      </c>
      <c r="E58" s="282">
        <f t="shared" ref="E58:E59" si="10">D58/C58*100</f>
        <v>91.060435353891677</v>
      </c>
      <c r="F58" s="513">
        <v>101178</v>
      </c>
      <c r="G58" s="284" t="s">
        <v>114</v>
      </c>
      <c r="H58" s="327"/>
    </row>
    <row r="59" spans="1:12" s="324" customFormat="1" x14ac:dyDescent="0.2">
      <c r="A59" s="653"/>
      <c r="B59" s="481">
        <v>0</v>
      </c>
      <c r="C59" s="325">
        <v>2332648.94</v>
      </c>
      <c r="D59" s="325">
        <f>129591.61+2203057.33</f>
        <v>2332648.94</v>
      </c>
      <c r="E59" s="282">
        <f t="shared" si="10"/>
        <v>100</v>
      </c>
      <c r="F59" s="513">
        <v>101178</v>
      </c>
      <c r="G59" s="429" t="s">
        <v>261</v>
      </c>
      <c r="H59" s="327"/>
    </row>
    <row r="60" spans="1:12" s="324" customFormat="1" ht="25.5" x14ac:dyDescent="0.2">
      <c r="A60" s="530" t="s">
        <v>118</v>
      </c>
      <c r="B60" s="481">
        <v>2645000</v>
      </c>
      <c r="C60" s="325">
        <v>656000</v>
      </c>
      <c r="D60" s="325">
        <v>326965</v>
      </c>
      <c r="E60" s="282">
        <f>D60/C60*100</f>
        <v>49.842225609756099</v>
      </c>
      <c r="F60" s="513">
        <v>101181</v>
      </c>
      <c r="G60" s="284" t="s">
        <v>114</v>
      </c>
      <c r="H60" s="327"/>
    </row>
    <row r="61" spans="1:12" s="324" customFormat="1" ht="25.5" x14ac:dyDescent="0.2">
      <c r="A61" s="528" t="s">
        <v>109</v>
      </c>
      <c r="B61" s="480">
        <v>20049000</v>
      </c>
      <c r="C61" s="444">
        <v>33349000</v>
      </c>
      <c r="D61" s="444">
        <v>32044219.59</v>
      </c>
      <c r="E61" s="282">
        <f t="shared" ref="E61:E70" si="11">D61/C61*100</f>
        <v>96.087497646106328</v>
      </c>
      <c r="F61" s="513">
        <v>101247</v>
      </c>
      <c r="G61" s="284" t="s">
        <v>114</v>
      </c>
      <c r="H61" s="327"/>
    </row>
    <row r="62" spans="1:12" s="324" customFormat="1" ht="14.25" customHeight="1" x14ac:dyDescent="0.2">
      <c r="A62" s="650" t="s">
        <v>283</v>
      </c>
      <c r="B62" s="480">
        <v>2104000</v>
      </c>
      <c r="C62" s="444">
        <v>5855049.5599999996</v>
      </c>
      <c r="D62" s="444">
        <v>3993510.88</v>
      </c>
      <c r="E62" s="282">
        <f t="shared" si="11"/>
        <v>68.206269461534674</v>
      </c>
      <c r="F62" s="513">
        <v>101338</v>
      </c>
      <c r="G62" s="284" t="s">
        <v>114</v>
      </c>
      <c r="H62" s="327"/>
    </row>
    <row r="63" spans="1:12" s="324" customFormat="1" x14ac:dyDescent="0.2">
      <c r="A63" s="651"/>
      <c r="B63" s="480">
        <v>0</v>
      </c>
      <c r="C63" s="444">
        <v>3020668.61</v>
      </c>
      <c r="D63" s="444">
        <v>3020668.61</v>
      </c>
      <c r="E63" s="282">
        <f t="shared" si="11"/>
        <v>100</v>
      </c>
      <c r="F63" s="513">
        <v>101338</v>
      </c>
      <c r="G63" s="429" t="s">
        <v>261</v>
      </c>
      <c r="H63" s="327"/>
    </row>
    <row r="64" spans="1:12" s="324" customFormat="1" ht="17.25" customHeight="1" x14ac:dyDescent="0.2">
      <c r="A64" s="650" t="s">
        <v>284</v>
      </c>
      <c r="B64" s="480">
        <v>1883000</v>
      </c>
      <c r="C64" s="444">
        <v>4318721.12</v>
      </c>
      <c r="D64" s="444">
        <v>2638483.4500000002</v>
      </c>
      <c r="E64" s="282">
        <f t="shared" si="11"/>
        <v>61.094091900983869</v>
      </c>
      <c r="F64" s="513">
        <v>101339</v>
      </c>
      <c r="G64" s="284" t="s">
        <v>114</v>
      </c>
      <c r="H64" s="327"/>
    </row>
    <row r="65" spans="1:12" s="324" customFormat="1" x14ac:dyDescent="0.2">
      <c r="A65" s="651"/>
      <c r="B65" s="480">
        <v>0</v>
      </c>
      <c r="C65" s="444">
        <v>2942263.59</v>
      </c>
      <c r="D65" s="444">
        <v>2942263.59</v>
      </c>
      <c r="E65" s="282">
        <f t="shared" si="11"/>
        <v>100</v>
      </c>
      <c r="F65" s="513">
        <v>101339</v>
      </c>
      <c r="G65" s="429" t="s">
        <v>261</v>
      </c>
      <c r="H65" s="327"/>
    </row>
    <row r="66" spans="1:12" s="324" customFormat="1" ht="17.25" customHeight="1" x14ac:dyDescent="0.2">
      <c r="A66" s="650" t="s">
        <v>285</v>
      </c>
      <c r="B66" s="480">
        <v>1645000</v>
      </c>
      <c r="C66" s="444">
        <v>3874985.68</v>
      </c>
      <c r="D66" s="444">
        <v>2867295.45</v>
      </c>
      <c r="E66" s="282">
        <f t="shared" si="11"/>
        <v>73.994994737632169</v>
      </c>
      <c r="F66" s="513">
        <v>101340</v>
      </c>
      <c r="G66" s="284" t="s">
        <v>114</v>
      </c>
      <c r="H66" s="327"/>
    </row>
    <row r="67" spans="1:12" s="324" customFormat="1" x14ac:dyDescent="0.2">
      <c r="A67" s="651"/>
      <c r="B67" s="480">
        <v>0</v>
      </c>
      <c r="C67" s="444">
        <v>2690667.5</v>
      </c>
      <c r="D67" s="444">
        <v>2690667.5</v>
      </c>
      <c r="E67" s="282">
        <f t="shared" si="11"/>
        <v>100</v>
      </c>
      <c r="F67" s="513">
        <v>101340</v>
      </c>
      <c r="G67" s="429" t="s">
        <v>261</v>
      </c>
      <c r="H67" s="327"/>
    </row>
    <row r="68" spans="1:12" s="324" customFormat="1" ht="25.5" x14ac:dyDescent="0.2">
      <c r="A68" s="528" t="s">
        <v>286</v>
      </c>
      <c r="B68" s="480">
        <v>427000</v>
      </c>
      <c r="C68" s="444">
        <v>427000</v>
      </c>
      <c r="D68" s="444">
        <v>115450</v>
      </c>
      <c r="E68" s="282">
        <f t="shared" si="11"/>
        <v>27.037470725995316</v>
      </c>
      <c r="F68" s="513">
        <v>101341</v>
      </c>
      <c r="G68" s="284" t="s">
        <v>114</v>
      </c>
      <c r="H68" s="327"/>
    </row>
    <row r="69" spans="1:12" s="324" customFormat="1" ht="25.5" x14ac:dyDescent="0.2">
      <c r="A69" s="528" t="s">
        <v>287</v>
      </c>
      <c r="B69" s="480">
        <v>4993000</v>
      </c>
      <c r="C69" s="444">
        <v>3993000</v>
      </c>
      <c r="D69" s="444">
        <v>220380</v>
      </c>
      <c r="E69" s="282">
        <f t="shared" si="11"/>
        <v>5.5191585274229906</v>
      </c>
      <c r="F69" s="513">
        <v>101342</v>
      </c>
      <c r="G69" s="284" t="s">
        <v>114</v>
      </c>
      <c r="H69" s="327"/>
    </row>
    <row r="70" spans="1:12" s="330" customFormat="1" ht="26.25" thickBot="1" x14ac:dyDescent="0.25">
      <c r="A70" s="529" t="s">
        <v>288</v>
      </c>
      <c r="B70" s="421">
        <v>8145000</v>
      </c>
      <c r="C70" s="421">
        <v>148734.25</v>
      </c>
      <c r="D70" s="421">
        <v>0</v>
      </c>
      <c r="E70" s="422">
        <f t="shared" si="11"/>
        <v>0</v>
      </c>
      <c r="F70" s="323" t="s">
        <v>259</v>
      </c>
      <c r="G70" s="284" t="s">
        <v>114</v>
      </c>
      <c r="H70" s="329"/>
    </row>
    <row r="71" spans="1:12" s="330" customFormat="1" ht="15.75" thickTop="1" x14ac:dyDescent="0.25">
      <c r="A71" s="265"/>
      <c r="B71" s="256"/>
      <c r="C71" s="260"/>
      <c r="D71" s="266"/>
      <c r="E71" s="267"/>
      <c r="F71" s="328"/>
      <c r="G71" s="329"/>
      <c r="H71" s="329"/>
    </row>
    <row r="72" spans="1:12" s="330" customFormat="1" ht="15.75" thickBot="1" x14ac:dyDescent="0.25">
      <c r="A72" s="295" t="s">
        <v>29</v>
      </c>
      <c r="B72" s="484"/>
      <c r="C72" s="296"/>
      <c r="D72" s="297"/>
      <c r="E72" s="298" t="s">
        <v>18</v>
      </c>
      <c r="F72" s="339"/>
      <c r="G72" s="276"/>
      <c r="H72" s="329"/>
    </row>
    <row r="73" spans="1:12" s="330" customFormat="1" ht="14.25" thickTop="1" thickBot="1" x14ac:dyDescent="0.25">
      <c r="A73" s="268" t="s">
        <v>5</v>
      </c>
      <c r="B73" s="269" t="s">
        <v>0</v>
      </c>
      <c r="C73" s="270" t="s">
        <v>1</v>
      </c>
      <c r="D73" s="271" t="s">
        <v>4</v>
      </c>
      <c r="E73" s="272" t="s">
        <v>6</v>
      </c>
      <c r="F73" s="339"/>
      <c r="G73" s="276"/>
      <c r="H73" s="329"/>
    </row>
    <row r="74" spans="1:12" s="330" customFormat="1" ht="15.75" thickTop="1" x14ac:dyDescent="0.2">
      <c r="A74" s="273" t="s">
        <v>9</v>
      </c>
      <c r="B74" s="274">
        <f>SUM(B75:B79)</f>
        <v>175000</v>
      </c>
      <c r="C74" s="274">
        <f>SUM(C75:C79)</f>
        <v>101720.94</v>
      </c>
      <c r="D74" s="274">
        <f>SUM(D75:D79)</f>
        <v>59720.94</v>
      </c>
      <c r="E74" s="299">
        <f>D74/C74*100</f>
        <v>58.710566378957964</v>
      </c>
      <c r="F74" s="339"/>
      <c r="G74" s="276"/>
      <c r="H74" s="329"/>
    </row>
    <row r="75" spans="1:12" s="330" customFormat="1" x14ac:dyDescent="0.2">
      <c r="A75" s="577" t="s">
        <v>381</v>
      </c>
      <c r="B75" s="482">
        <v>7000</v>
      </c>
      <c r="C75" s="326">
        <v>12431.25</v>
      </c>
      <c r="D75" s="326">
        <v>12431.25</v>
      </c>
      <c r="E75" s="283">
        <f t="shared" ref="E75:E78" si="12">D75/C75*100</f>
        <v>100</v>
      </c>
      <c r="F75" s="285">
        <v>1637</v>
      </c>
      <c r="G75" s="300" t="s">
        <v>387</v>
      </c>
      <c r="H75" s="329"/>
    </row>
    <row r="76" spans="1:12" s="330" customFormat="1" x14ac:dyDescent="0.2">
      <c r="A76" s="441" t="s">
        <v>228</v>
      </c>
      <c r="B76" s="480">
        <v>107000</v>
      </c>
      <c r="C76" s="444">
        <v>47289.69</v>
      </c>
      <c r="D76" s="444">
        <v>47289.69</v>
      </c>
      <c r="E76" s="443">
        <f t="shared" si="12"/>
        <v>100</v>
      </c>
      <c r="F76" s="285">
        <v>1641</v>
      </c>
      <c r="G76" s="300" t="s">
        <v>387</v>
      </c>
      <c r="H76" s="329"/>
    </row>
    <row r="77" spans="1:12" s="330" customFormat="1" x14ac:dyDescent="0.2">
      <c r="A77" s="594" t="s">
        <v>495</v>
      </c>
      <c r="B77" s="481">
        <v>19000</v>
      </c>
      <c r="C77" s="325">
        <v>0</v>
      </c>
      <c r="D77" s="325">
        <v>0</v>
      </c>
      <c r="E77" s="443">
        <v>0</v>
      </c>
      <c r="F77" s="285">
        <v>1647</v>
      </c>
      <c r="G77" s="300" t="s">
        <v>387</v>
      </c>
      <c r="H77" s="329"/>
    </row>
    <row r="78" spans="1:12" s="330" customFormat="1" x14ac:dyDescent="0.2">
      <c r="A78" s="626" t="s">
        <v>232</v>
      </c>
      <c r="B78" s="481">
        <v>7000</v>
      </c>
      <c r="C78" s="325">
        <v>7000</v>
      </c>
      <c r="D78" s="325">
        <v>0</v>
      </c>
      <c r="E78" s="443">
        <f t="shared" si="12"/>
        <v>0</v>
      </c>
      <c r="F78" s="285">
        <v>1652</v>
      </c>
      <c r="G78" s="300" t="s">
        <v>410</v>
      </c>
      <c r="H78" s="329"/>
      <c r="I78" s="334" t="s">
        <v>40</v>
      </c>
      <c r="J78" s="310">
        <f>B56+B58+B60+B61+B62+B64+B66+B68+B69+B70</f>
        <v>53780000</v>
      </c>
      <c r="K78" s="310">
        <f>C56+C58+C60+C61+C62+C64+C66+C68+C69+C70</f>
        <v>68422909.810000002</v>
      </c>
      <c r="L78" s="310">
        <f>D56+D58+D60+D61+D62+D64+D66+D68+D69+D70</f>
        <v>48601766.850000009</v>
      </c>
    </row>
    <row r="79" spans="1:12" s="330" customFormat="1" ht="13.5" thickBot="1" x14ac:dyDescent="0.25">
      <c r="A79" s="627"/>
      <c r="B79" s="483">
        <v>35000</v>
      </c>
      <c r="C79" s="445">
        <v>35000</v>
      </c>
      <c r="D79" s="445">
        <v>0</v>
      </c>
      <c r="E79" s="422">
        <v>0</v>
      </c>
      <c r="F79" s="285">
        <v>1652</v>
      </c>
      <c r="G79" s="300" t="s">
        <v>409</v>
      </c>
      <c r="H79" s="329"/>
      <c r="I79" s="335"/>
      <c r="J79" s="534">
        <f>B57+B59+B63+B65+B67</f>
        <v>0</v>
      </c>
      <c r="K79" s="534">
        <f>C57+C59+C63+C65+C67</f>
        <v>11682043.289999999</v>
      </c>
      <c r="L79" s="534">
        <f>D57+D59+D63+D65+D67</f>
        <v>11682043.289999999</v>
      </c>
    </row>
    <row r="80" spans="1:12" s="330" customFormat="1" ht="15.75" thickTop="1" x14ac:dyDescent="0.25">
      <c r="A80" s="265"/>
      <c r="B80" s="256"/>
      <c r="C80" s="260"/>
      <c r="D80" s="266"/>
      <c r="E80" s="267"/>
      <c r="F80" s="328"/>
      <c r="G80" s="329"/>
      <c r="H80" s="329"/>
      <c r="I80" s="311" t="s">
        <v>34</v>
      </c>
      <c r="J80" s="312">
        <f>B74</f>
        <v>175000</v>
      </c>
      <c r="K80" s="312">
        <f>C74</f>
        <v>101720.94</v>
      </c>
      <c r="L80" s="312">
        <f>D74</f>
        <v>59720.94</v>
      </c>
    </row>
    <row r="81" spans="1:12" s="318" customFormat="1" ht="18.75" thickBot="1" x14ac:dyDescent="0.3">
      <c r="A81" s="313" t="s">
        <v>21</v>
      </c>
      <c r="B81" s="485">
        <f>SUM(B55,B74)</f>
        <v>53955000</v>
      </c>
      <c r="C81" s="485">
        <f>SUM(C55,C74)</f>
        <v>80206674.040000007</v>
      </c>
      <c r="D81" s="485">
        <f>SUM(D55,D74)</f>
        <v>60343531.079999998</v>
      </c>
      <c r="E81" s="315">
        <f>D81/C81*100</f>
        <v>75.235049704100661</v>
      </c>
      <c r="F81" s="252"/>
      <c r="G81" s="317"/>
      <c r="H81" s="317"/>
      <c r="I81" s="311"/>
      <c r="J81" s="286">
        <f>J78+J79+J80</f>
        <v>53955000</v>
      </c>
      <c r="K81" s="286">
        <f>K78+K79+K80</f>
        <v>80206674.039999992</v>
      </c>
      <c r="L81" s="286">
        <f>L78+L79+L80</f>
        <v>60343531.080000006</v>
      </c>
    </row>
    <row r="82" spans="1:12" s="338" customFormat="1" ht="13.5" thickTop="1" x14ac:dyDescent="0.2">
      <c r="B82" s="486"/>
      <c r="E82" s="294"/>
      <c r="F82" s="339"/>
      <c r="G82" s="276"/>
      <c r="H82" s="276"/>
    </row>
    <row r="83" spans="1:12" s="338" customFormat="1" x14ac:dyDescent="0.2">
      <c r="B83" s="486"/>
      <c r="E83" s="294"/>
      <c r="F83" s="339"/>
      <c r="G83" s="276"/>
      <c r="H83" s="276"/>
    </row>
    <row r="84" spans="1:12" ht="15" customHeight="1" x14ac:dyDescent="0.25">
      <c r="A84" s="264" t="s">
        <v>56</v>
      </c>
      <c r="B84" s="256"/>
    </row>
    <row r="85" spans="1:12" ht="15" customHeight="1" thickBot="1" x14ac:dyDescent="0.3">
      <c r="A85" s="265" t="s">
        <v>101</v>
      </c>
      <c r="B85" s="256"/>
      <c r="E85" s="267" t="s">
        <v>18</v>
      </c>
    </row>
    <row r="86" spans="1:12" ht="14.25" thickTop="1" thickBot="1" x14ac:dyDescent="0.25">
      <c r="A86" s="268" t="s">
        <v>5</v>
      </c>
      <c r="B86" s="269" t="s">
        <v>0</v>
      </c>
      <c r="C86" s="270" t="s">
        <v>1</v>
      </c>
      <c r="D86" s="271" t="s">
        <v>4</v>
      </c>
      <c r="E86" s="272" t="s">
        <v>6</v>
      </c>
    </row>
    <row r="87" spans="1:12" ht="15.75" thickTop="1" x14ac:dyDescent="0.2">
      <c r="A87" s="331" t="s">
        <v>8</v>
      </c>
      <c r="B87" s="332">
        <f>SUM(B88:B89)</f>
        <v>17323000</v>
      </c>
      <c r="C87" s="332">
        <f>SUM(C88:C89)</f>
        <v>34934605.689999998</v>
      </c>
      <c r="D87" s="332">
        <f>SUM(D88:D89)</f>
        <v>34817487.730000004</v>
      </c>
      <c r="E87" s="333">
        <f t="shared" ref="E87:E89" si="13">D87/C87*100</f>
        <v>99.664750874707835</v>
      </c>
      <c r="F87" s="261"/>
    </row>
    <row r="88" spans="1:12" s="302" customFormat="1" x14ac:dyDescent="0.2">
      <c r="A88" s="648" t="s">
        <v>119</v>
      </c>
      <c r="B88" s="511">
        <v>17323000</v>
      </c>
      <c r="C88" s="511">
        <v>19447305.890000001</v>
      </c>
      <c r="D88" s="511">
        <v>19330187.93</v>
      </c>
      <c r="E88" s="280">
        <f t="shared" si="13"/>
        <v>99.39776768739867</v>
      </c>
      <c r="F88" s="340">
        <v>100768</v>
      </c>
      <c r="G88" s="284" t="s">
        <v>114</v>
      </c>
      <c r="H88" s="301"/>
    </row>
    <row r="89" spans="1:12" s="302" customFormat="1" ht="13.5" thickBot="1" x14ac:dyDescent="0.25">
      <c r="A89" s="649"/>
      <c r="B89" s="602">
        <v>0</v>
      </c>
      <c r="C89" s="602">
        <v>15487299.800000001</v>
      </c>
      <c r="D89" s="602">
        <v>15487299.800000001</v>
      </c>
      <c r="E89" s="603">
        <f t="shared" si="13"/>
        <v>100</v>
      </c>
      <c r="F89" s="340">
        <v>100768</v>
      </c>
      <c r="G89" s="429" t="s">
        <v>261</v>
      </c>
      <c r="H89" s="431"/>
    </row>
    <row r="90" spans="1:12" ht="13.5" thickTop="1" x14ac:dyDescent="0.2">
      <c r="A90" s="341"/>
      <c r="B90" s="399"/>
      <c r="C90" s="342"/>
      <c r="D90" s="342"/>
      <c r="E90" s="294"/>
      <c r="F90" s="261"/>
      <c r="G90" s="307"/>
    </row>
    <row r="91" spans="1:12" s="338" customFormat="1" ht="15.75" thickBot="1" x14ac:dyDescent="0.25">
      <c r="A91" s="295" t="s">
        <v>29</v>
      </c>
      <c r="B91" s="484"/>
      <c r="C91" s="296"/>
      <c r="D91" s="297"/>
      <c r="E91" s="298" t="s">
        <v>18</v>
      </c>
      <c r="F91" s="339"/>
      <c r="G91" s="276"/>
      <c r="H91" s="276"/>
    </row>
    <row r="92" spans="1:12" s="338" customFormat="1" ht="14.25" thickTop="1" thickBot="1" x14ac:dyDescent="0.25">
      <c r="A92" s="268" t="s">
        <v>5</v>
      </c>
      <c r="B92" s="269" t="s">
        <v>0</v>
      </c>
      <c r="C92" s="270" t="s">
        <v>1</v>
      </c>
      <c r="D92" s="271" t="s">
        <v>4</v>
      </c>
      <c r="E92" s="272" t="s">
        <v>6</v>
      </c>
      <c r="F92" s="339"/>
      <c r="G92" s="276"/>
      <c r="H92" s="276"/>
    </row>
    <row r="93" spans="1:12" s="338" customFormat="1" ht="15.75" thickTop="1" x14ac:dyDescent="0.2">
      <c r="A93" s="273" t="s">
        <v>8</v>
      </c>
      <c r="B93" s="274">
        <f>SUM(B94:B96)</f>
        <v>2367000</v>
      </c>
      <c r="C93" s="274">
        <f>SUM(C94:C96)</f>
        <v>19302752.899999999</v>
      </c>
      <c r="D93" s="274">
        <f>SUM(D94:D96)</f>
        <v>18913687.239999998</v>
      </c>
      <c r="E93" s="299">
        <f>D93/C93*100</f>
        <v>97.984403250585046</v>
      </c>
      <c r="F93" s="339"/>
      <c r="G93" s="276"/>
      <c r="H93" s="276"/>
    </row>
    <row r="94" spans="1:12" s="338" customFormat="1" x14ac:dyDescent="0.2">
      <c r="A94" s="628" t="s">
        <v>245</v>
      </c>
      <c r="B94" s="482">
        <v>1452000</v>
      </c>
      <c r="C94" s="326">
        <v>1959248.96</v>
      </c>
      <c r="D94" s="326">
        <v>1959248.96</v>
      </c>
      <c r="E94" s="283">
        <f t="shared" ref="E94" si="14">D94/C94*100</f>
        <v>100</v>
      </c>
      <c r="F94" s="285">
        <v>1602</v>
      </c>
      <c r="G94" s="300" t="s">
        <v>408</v>
      </c>
      <c r="H94" s="276"/>
      <c r="I94" s="334" t="s">
        <v>40</v>
      </c>
      <c r="J94" s="310">
        <f>B88</f>
        <v>17323000</v>
      </c>
      <c r="K94" s="310">
        <f t="shared" ref="K94:L94" si="15">C88</f>
        <v>19447305.890000001</v>
      </c>
      <c r="L94" s="310">
        <f t="shared" si="15"/>
        <v>19330187.93</v>
      </c>
    </row>
    <row r="95" spans="1:12" s="338" customFormat="1" x14ac:dyDescent="0.2">
      <c r="A95" s="629"/>
      <c r="B95" s="480">
        <v>915000</v>
      </c>
      <c r="C95" s="444">
        <v>915000</v>
      </c>
      <c r="D95" s="444">
        <v>525934.34</v>
      </c>
      <c r="E95" s="443">
        <f t="shared" ref="E95" si="16">D95/C95*100</f>
        <v>57.479162841530055</v>
      </c>
      <c r="F95" s="285">
        <v>1602</v>
      </c>
      <c r="G95" s="300" t="s">
        <v>411</v>
      </c>
      <c r="H95" s="276"/>
      <c r="J95" s="534">
        <f>B89</f>
        <v>0</v>
      </c>
      <c r="K95" s="534">
        <f>C89</f>
        <v>15487299.800000001</v>
      </c>
      <c r="L95" s="534">
        <f>D89</f>
        <v>15487299.800000001</v>
      </c>
    </row>
    <row r="96" spans="1:12" s="338" customFormat="1" ht="13.5" thickBot="1" x14ac:dyDescent="0.25">
      <c r="A96" s="630"/>
      <c r="B96" s="483">
        <v>0</v>
      </c>
      <c r="C96" s="445">
        <v>16428503.939999999</v>
      </c>
      <c r="D96" s="445">
        <v>16428503.939999999</v>
      </c>
      <c r="E96" s="422">
        <f>D96/C96*100</f>
        <v>100</v>
      </c>
      <c r="F96" s="285">
        <v>1602</v>
      </c>
      <c r="G96" s="531" t="s">
        <v>483</v>
      </c>
      <c r="H96" s="276"/>
      <c r="I96" s="311" t="s">
        <v>34</v>
      </c>
      <c r="J96" s="312">
        <f>B93</f>
        <v>2367000</v>
      </c>
      <c r="K96" s="312">
        <f t="shared" ref="K96:L96" si="17">C93</f>
        <v>19302752.899999999</v>
      </c>
      <c r="L96" s="312">
        <f t="shared" si="17"/>
        <v>18913687.239999998</v>
      </c>
    </row>
    <row r="97" spans="1:12" s="338" customFormat="1" ht="18.75" thickTop="1" x14ac:dyDescent="0.25">
      <c r="B97" s="487"/>
      <c r="C97" s="344"/>
      <c r="D97" s="344"/>
      <c r="E97" s="294"/>
      <c r="F97" s="339"/>
      <c r="G97" s="276"/>
      <c r="I97" s="318"/>
      <c r="J97" s="610">
        <f>B96</f>
        <v>0</v>
      </c>
      <c r="K97" s="610">
        <f t="shared" ref="K97:L97" si="18">C96</f>
        <v>16428503.939999999</v>
      </c>
      <c r="L97" s="610">
        <f t="shared" si="18"/>
        <v>16428503.939999999</v>
      </c>
    </row>
    <row r="98" spans="1:12" s="318" customFormat="1" ht="18.75" thickBot="1" x14ac:dyDescent="0.3">
      <c r="A98" s="313" t="s">
        <v>22</v>
      </c>
      <c r="B98" s="485">
        <f>SUM(B87,B93)</f>
        <v>19690000</v>
      </c>
      <c r="C98" s="485">
        <f>SUM(C87,C93)</f>
        <v>54237358.589999996</v>
      </c>
      <c r="D98" s="485">
        <f>SUM(D87,D93)</f>
        <v>53731174.969999999</v>
      </c>
      <c r="E98" s="315">
        <f>D98/C98*100</f>
        <v>99.066725162951926</v>
      </c>
      <c r="F98" s="345"/>
      <c r="G98" s="317"/>
      <c r="J98" s="286">
        <f>SUM(J94:J96)</f>
        <v>19690000</v>
      </c>
      <c r="K98" s="286">
        <f t="shared" ref="K98:L98" si="19">SUM(K94:K96)</f>
        <v>54237358.589999996</v>
      </c>
      <c r="L98" s="286">
        <f t="shared" si="19"/>
        <v>53731174.969999999</v>
      </c>
    </row>
    <row r="99" spans="1:12" s="318" customFormat="1" ht="18.75" thickTop="1" x14ac:dyDescent="0.25">
      <c r="A99" s="346"/>
      <c r="B99" s="488"/>
      <c r="C99" s="347"/>
      <c r="D99" s="347"/>
      <c r="E99" s="348"/>
      <c r="F99" s="345"/>
      <c r="G99" s="317"/>
    </row>
    <row r="100" spans="1:12" s="338" customFormat="1" x14ac:dyDescent="0.2">
      <c r="B100" s="486"/>
      <c r="E100" s="294"/>
      <c r="F100" s="339"/>
      <c r="G100" s="276"/>
    </row>
    <row r="101" spans="1:12" ht="15" customHeight="1" x14ac:dyDescent="0.25">
      <c r="A101" s="264" t="s">
        <v>57</v>
      </c>
      <c r="B101" s="256"/>
    </row>
    <row r="102" spans="1:12" ht="15" customHeight="1" thickBot="1" x14ac:dyDescent="0.3">
      <c r="A102" s="265" t="s">
        <v>101</v>
      </c>
      <c r="B102" s="256"/>
      <c r="E102" s="267" t="s">
        <v>18</v>
      </c>
    </row>
    <row r="103" spans="1:12" ht="14.25" thickTop="1" thickBot="1" x14ac:dyDescent="0.25">
      <c r="A103" s="268" t="s">
        <v>5</v>
      </c>
      <c r="B103" s="269" t="s">
        <v>0</v>
      </c>
      <c r="C103" s="270" t="s">
        <v>1</v>
      </c>
      <c r="D103" s="271" t="s">
        <v>4</v>
      </c>
      <c r="E103" s="272" t="s">
        <v>6</v>
      </c>
    </row>
    <row r="104" spans="1:12" ht="15.75" thickTop="1" x14ac:dyDescent="0.25">
      <c r="A104" s="273" t="s">
        <v>11</v>
      </c>
      <c r="B104" s="349">
        <f>SUM(B105:B121)</f>
        <v>155802000</v>
      </c>
      <c r="C104" s="349">
        <f>SUM(C105:C121)</f>
        <v>453371584.35000014</v>
      </c>
      <c r="D104" s="349">
        <f>SUM(D105:D121)</f>
        <v>397652375.78000009</v>
      </c>
      <c r="E104" s="275">
        <f>D104/C104*100</f>
        <v>87.71003510290906</v>
      </c>
      <c r="F104" s="261"/>
      <c r="H104" s="327"/>
    </row>
    <row r="105" spans="1:12" s="354" customFormat="1" x14ac:dyDescent="0.2">
      <c r="A105" s="637" t="s">
        <v>123</v>
      </c>
      <c r="B105" s="539">
        <v>42917000</v>
      </c>
      <c r="C105" s="539">
        <v>52559130.640000001</v>
      </c>
      <c r="D105" s="540">
        <f>13509609.62+35379720.88</f>
        <v>48889330.5</v>
      </c>
      <c r="E105" s="447">
        <f>D105/C105*100</f>
        <v>93.017768567870661</v>
      </c>
      <c r="F105" s="351">
        <v>100040</v>
      </c>
      <c r="G105" s="352" t="s">
        <v>48</v>
      </c>
      <c r="H105" s="353"/>
    </row>
    <row r="106" spans="1:12" s="354" customFormat="1" x14ac:dyDescent="0.2">
      <c r="A106" s="637"/>
      <c r="B106" s="539">
        <v>0</v>
      </c>
      <c r="C106" s="539">
        <f>477355.17+7340166.53</f>
        <v>7817521.7000000002</v>
      </c>
      <c r="D106" s="540">
        <f>477355.17+7340166.53</f>
        <v>7817521.7000000002</v>
      </c>
      <c r="E106" s="447">
        <f>D106/C106*100</f>
        <v>100</v>
      </c>
      <c r="F106" s="351">
        <v>100040</v>
      </c>
      <c r="G106" s="527" t="s">
        <v>255</v>
      </c>
      <c r="H106" s="353"/>
    </row>
    <row r="107" spans="1:12" s="354" customFormat="1" x14ac:dyDescent="0.2">
      <c r="A107" s="637"/>
      <c r="B107" s="539">
        <v>0</v>
      </c>
      <c r="C107" s="539">
        <f>118889200.57+6993482.38</f>
        <v>125882682.94999999</v>
      </c>
      <c r="D107" s="540">
        <f>118889200.57+6993482.38</f>
        <v>125882682.94999999</v>
      </c>
      <c r="E107" s="447">
        <f>D107/C107*100</f>
        <v>100</v>
      </c>
      <c r="F107" s="351">
        <v>100040</v>
      </c>
      <c r="G107" s="429" t="s">
        <v>356</v>
      </c>
      <c r="H107" s="353"/>
    </row>
    <row r="108" spans="1:12" s="354" customFormat="1" x14ac:dyDescent="0.2">
      <c r="A108" s="645" t="s">
        <v>125</v>
      </c>
      <c r="B108" s="533">
        <f>2693000+21800000</f>
        <v>24493000</v>
      </c>
      <c r="C108" s="539">
        <f>2693000+25230000</f>
        <v>27923000</v>
      </c>
      <c r="D108" s="540">
        <f>1839014.82+8053572.66</f>
        <v>9892587.4800000004</v>
      </c>
      <c r="E108" s="447">
        <f t="shared" ref="E108:E111" si="20">D108/C108*100</f>
        <v>35.42809683773234</v>
      </c>
      <c r="F108" s="351">
        <v>100914</v>
      </c>
      <c r="G108" s="352" t="s">
        <v>48</v>
      </c>
      <c r="H108" s="353"/>
    </row>
    <row r="109" spans="1:12" s="354" customFormat="1" x14ac:dyDescent="0.2">
      <c r="A109" s="645"/>
      <c r="B109" s="576">
        <v>0</v>
      </c>
      <c r="C109" s="541">
        <f>919507.4+15631625.96</f>
        <v>16551133.360000001</v>
      </c>
      <c r="D109" s="542">
        <f>15631625.96+919507.4</f>
        <v>16551133.360000001</v>
      </c>
      <c r="E109" s="447">
        <f t="shared" si="20"/>
        <v>100</v>
      </c>
      <c r="F109" s="351">
        <v>100914</v>
      </c>
      <c r="G109" s="429" t="s">
        <v>356</v>
      </c>
      <c r="H109" s="353"/>
    </row>
    <row r="110" spans="1:12" s="354" customFormat="1" x14ac:dyDescent="0.2">
      <c r="A110" s="640" t="s">
        <v>126</v>
      </c>
      <c r="B110" s="539">
        <f>5563000+11500000</f>
        <v>17063000</v>
      </c>
      <c r="C110" s="539">
        <f>5563000+7500000</f>
        <v>13063000</v>
      </c>
      <c r="D110" s="540">
        <f>2875199.35+1654391.87</f>
        <v>4529591.2200000007</v>
      </c>
      <c r="E110" s="355">
        <f t="shared" si="20"/>
        <v>34.674969149506246</v>
      </c>
      <c r="F110" s="351">
        <v>100917</v>
      </c>
      <c r="G110" s="352" t="s">
        <v>48</v>
      </c>
      <c r="H110" s="353"/>
    </row>
    <row r="111" spans="1:12" s="354" customFormat="1" x14ac:dyDescent="0.2">
      <c r="A111" s="646"/>
      <c r="B111" s="539">
        <v>0</v>
      </c>
      <c r="C111" s="539">
        <f>24439194.46+1437599.67</f>
        <v>25876794.130000003</v>
      </c>
      <c r="D111" s="540">
        <f>24439194.46+1437599.67</f>
        <v>25876794.130000003</v>
      </c>
      <c r="E111" s="355">
        <f t="shared" si="20"/>
        <v>100</v>
      </c>
      <c r="F111" s="351">
        <v>100917</v>
      </c>
      <c r="G111" s="429" t="s">
        <v>356</v>
      </c>
      <c r="H111" s="353"/>
    </row>
    <row r="112" spans="1:12" s="354" customFormat="1" x14ac:dyDescent="0.2">
      <c r="A112" s="446" t="s">
        <v>127</v>
      </c>
      <c r="B112" s="539">
        <v>3000000</v>
      </c>
      <c r="C112" s="539">
        <v>3000000</v>
      </c>
      <c r="D112" s="540">
        <v>1138852</v>
      </c>
      <c r="E112" s="447">
        <f>D112/C112*100</f>
        <v>37.961733333333328</v>
      </c>
      <c r="F112" s="351">
        <v>100918</v>
      </c>
      <c r="G112" s="352" t="s">
        <v>48</v>
      </c>
      <c r="H112" s="353"/>
    </row>
    <row r="113" spans="1:12" s="354" customFormat="1" x14ac:dyDescent="0.2">
      <c r="A113" s="642" t="s">
        <v>128</v>
      </c>
      <c r="B113" s="539">
        <v>12000000</v>
      </c>
      <c r="C113" s="539">
        <f>3328+10644026.05</f>
        <v>10647354.050000001</v>
      </c>
      <c r="D113" s="540">
        <f>3328+1601941.07+9042084.98</f>
        <v>10647354.050000001</v>
      </c>
      <c r="E113" s="447">
        <f>D113/C113*100</f>
        <v>100</v>
      </c>
      <c r="F113" s="351">
        <v>100919</v>
      </c>
      <c r="G113" s="352" t="s">
        <v>48</v>
      </c>
      <c r="H113" s="353"/>
    </row>
    <row r="114" spans="1:12" s="354" customFormat="1" x14ac:dyDescent="0.2">
      <c r="A114" s="643"/>
      <c r="B114" s="539">
        <v>0</v>
      </c>
      <c r="C114" s="539">
        <f>13616499.09+800970.53</f>
        <v>14417469.619999999</v>
      </c>
      <c r="D114" s="540">
        <f>13616499.09+800970.53</f>
        <v>14417469.619999999</v>
      </c>
      <c r="E114" s="447">
        <f>D114/C114*100</f>
        <v>100</v>
      </c>
      <c r="F114" s="351">
        <v>100919</v>
      </c>
      <c r="G114" s="429" t="s">
        <v>356</v>
      </c>
      <c r="H114" s="353"/>
    </row>
    <row r="115" spans="1:12" s="354" customFormat="1" x14ac:dyDescent="0.2">
      <c r="A115" s="644"/>
      <c r="B115" s="539">
        <v>0</v>
      </c>
      <c r="C115" s="539">
        <v>1299484.25</v>
      </c>
      <c r="D115" s="540">
        <v>1299484.25</v>
      </c>
      <c r="E115" s="447">
        <f>D115/C115*100</f>
        <v>100</v>
      </c>
      <c r="F115" s="351">
        <v>100919</v>
      </c>
      <c r="G115" s="527" t="s">
        <v>255</v>
      </c>
      <c r="H115" s="353"/>
      <c r="I115" s="432"/>
    </row>
    <row r="116" spans="1:12" s="357" customFormat="1" x14ac:dyDescent="0.2">
      <c r="A116" s="642" t="s">
        <v>84</v>
      </c>
      <c r="B116" s="480">
        <v>29795000</v>
      </c>
      <c r="C116" s="444">
        <v>19990805.91</v>
      </c>
      <c r="D116" s="444">
        <f>4904625.73+14246129.44</f>
        <v>19150755.170000002</v>
      </c>
      <c r="E116" s="447">
        <f t="shared" ref="E116:E121" si="21">D116/C116*100</f>
        <v>95.797814536432568</v>
      </c>
      <c r="F116" s="356">
        <v>100930</v>
      </c>
      <c r="G116" s="352" t="s">
        <v>48</v>
      </c>
    </row>
    <row r="117" spans="1:12" s="357" customFormat="1" x14ac:dyDescent="0.2">
      <c r="A117" s="643"/>
      <c r="B117" s="481">
        <v>0</v>
      </c>
      <c r="C117" s="325">
        <v>44141631.479999997</v>
      </c>
      <c r="D117" s="325">
        <f>41689318.64+2452312.84</f>
        <v>44141631.480000004</v>
      </c>
      <c r="E117" s="447">
        <f t="shared" si="21"/>
        <v>100.00000000000003</v>
      </c>
      <c r="F117" s="356">
        <v>100930</v>
      </c>
      <c r="G117" s="429" t="s">
        <v>356</v>
      </c>
    </row>
    <row r="118" spans="1:12" s="357" customFormat="1" x14ac:dyDescent="0.2">
      <c r="A118" s="644"/>
      <c r="B118" s="481">
        <v>0</v>
      </c>
      <c r="C118" s="325">
        <f>303560.82+14446900.22</f>
        <v>14750461.040000001</v>
      </c>
      <c r="D118" s="325">
        <f>303560.82+14446900.22</f>
        <v>14750461.040000001</v>
      </c>
      <c r="E118" s="447">
        <f t="shared" si="21"/>
        <v>100</v>
      </c>
      <c r="F118" s="356">
        <v>100930</v>
      </c>
      <c r="G118" s="531" t="s">
        <v>256</v>
      </c>
    </row>
    <row r="119" spans="1:12" s="357" customFormat="1" x14ac:dyDescent="0.2">
      <c r="A119" s="640" t="s">
        <v>257</v>
      </c>
      <c r="B119" s="480">
        <v>26334000</v>
      </c>
      <c r="C119" s="444">
        <v>39334000</v>
      </c>
      <c r="D119" s="444">
        <f>3968468.37+12709770.88</f>
        <v>16678239.25</v>
      </c>
      <c r="E119" s="447">
        <f t="shared" si="21"/>
        <v>42.401584507042259</v>
      </c>
      <c r="F119" s="356">
        <v>100956</v>
      </c>
      <c r="G119" s="352" t="s">
        <v>48</v>
      </c>
    </row>
    <row r="120" spans="1:12" s="357" customFormat="1" x14ac:dyDescent="0.2">
      <c r="A120" s="641"/>
      <c r="B120" s="481">
        <v>0</v>
      </c>
      <c r="C120" s="325">
        <v>35717115.219999999</v>
      </c>
      <c r="D120" s="325">
        <f>33732831.05+1984284.17</f>
        <v>35717115.219999999</v>
      </c>
      <c r="E120" s="350">
        <f t="shared" si="21"/>
        <v>100</v>
      </c>
      <c r="F120" s="356">
        <v>100956</v>
      </c>
      <c r="G120" s="429" t="s">
        <v>356</v>
      </c>
    </row>
    <row r="121" spans="1:12" s="357" customFormat="1" ht="13.5" thickBot="1" x14ac:dyDescent="0.25">
      <c r="A121" s="591" t="s">
        <v>469</v>
      </c>
      <c r="B121" s="483">
        <v>200000</v>
      </c>
      <c r="C121" s="445">
        <v>400000</v>
      </c>
      <c r="D121" s="445">
        <v>271372.36</v>
      </c>
      <c r="E121" s="574">
        <f t="shared" si="21"/>
        <v>67.843089999999989</v>
      </c>
      <c r="F121" s="356">
        <v>100919</v>
      </c>
      <c r="G121" s="352" t="s">
        <v>48</v>
      </c>
    </row>
    <row r="122" spans="1:12" s="358" customFormat="1" ht="13.5" thickTop="1" x14ac:dyDescent="0.2">
      <c r="B122" s="486"/>
      <c r="E122" s="359"/>
      <c r="F122" s="360"/>
      <c r="G122" s="361"/>
      <c r="H122" s="361"/>
    </row>
    <row r="123" spans="1:12" s="358" customFormat="1" ht="15.75" thickBot="1" x14ac:dyDescent="0.25">
      <c r="A123" s="362" t="s">
        <v>49</v>
      </c>
      <c r="B123" s="256"/>
      <c r="C123" s="363"/>
      <c r="D123" s="363"/>
      <c r="E123" s="364" t="s">
        <v>18</v>
      </c>
      <c r="F123" s="360"/>
      <c r="G123" s="361"/>
      <c r="H123" s="361"/>
      <c r="I123" s="352" t="s">
        <v>38</v>
      </c>
      <c r="J123" s="426">
        <f>B105+B108+B110+B112+B113+B116+B119+B121</f>
        <v>155802000</v>
      </c>
      <c r="K123" s="426">
        <f>C105+C108+C110+C112+C113+C116+C119+C121</f>
        <v>166917290.59999999</v>
      </c>
      <c r="L123" s="426">
        <f>D105+D108+D110+D112+D113+D116+D119+D121</f>
        <v>111198082.03</v>
      </c>
    </row>
    <row r="124" spans="1:12" s="358" customFormat="1" ht="14.25" thickTop="1" thickBot="1" x14ac:dyDescent="0.25">
      <c r="A124" s="365" t="s">
        <v>5</v>
      </c>
      <c r="B124" s="269" t="s">
        <v>0</v>
      </c>
      <c r="C124" s="366" t="s">
        <v>1</v>
      </c>
      <c r="D124" s="367" t="s">
        <v>4</v>
      </c>
      <c r="E124" s="368" t="s">
        <v>6</v>
      </c>
      <c r="F124" s="360"/>
      <c r="G124" s="361"/>
      <c r="H124" s="361"/>
      <c r="J124" s="536">
        <f>B106+B115</f>
        <v>0</v>
      </c>
      <c r="K124" s="536">
        <f>C106+C115</f>
        <v>9117005.9499999993</v>
      </c>
      <c r="L124" s="536">
        <f>D106+D115</f>
        <v>9117005.9499999993</v>
      </c>
    </row>
    <row r="125" spans="1:12" s="358" customFormat="1" ht="15.75" thickTop="1" x14ac:dyDescent="0.2">
      <c r="A125" s="369" t="s">
        <v>11</v>
      </c>
      <c r="B125" s="489">
        <f>SUM(B126:B128)</f>
        <v>49891000</v>
      </c>
      <c r="C125" s="370">
        <f>SUM(C126:C128)</f>
        <v>625082273.59000003</v>
      </c>
      <c r="D125" s="370">
        <f>SUM(D126:D128)</f>
        <v>625082273.59000003</v>
      </c>
      <c r="E125" s="371">
        <f t="shared" ref="E125:E128" si="22">D125/C125*100</f>
        <v>100</v>
      </c>
      <c r="F125" s="360"/>
      <c r="G125" s="372" t="s">
        <v>103</v>
      </c>
      <c r="H125" s="361"/>
      <c r="J125" s="537">
        <f>B107+B109+B111+B114+B117+B120</f>
        <v>0</v>
      </c>
      <c r="K125" s="537">
        <f>C107+C109+C111+C114+C117+C120</f>
        <v>262586826.75999999</v>
      </c>
      <c r="L125" s="537">
        <f>D107+D109+D111+D114+D117+D120</f>
        <v>262586826.76000002</v>
      </c>
    </row>
    <row r="126" spans="1:12" s="358" customFormat="1" x14ac:dyDescent="0.2">
      <c r="A126" s="638" t="s">
        <v>252</v>
      </c>
      <c r="B126" s="482">
        <v>0</v>
      </c>
      <c r="C126" s="538">
        <f>12327823.4+209572998.03</f>
        <v>221900821.43000001</v>
      </c>
      <c r="D126" s="538">
        <f>12327823.4+209572998.03</f>
        <v>221900821.43000001</v>
      </c>
      <c r="E126" s="355">
        <f t="shared" si="22"/>
        <v>100</v>
      </c>
      <c r="F126" s="340">
        <v>1600</v>
      </c>
      <c r="G126" s="372" t="s">
        <v>496</v>
      </c>
      <c r="H126" s="361"/>
      <c r="J126" s="537"/>
      <c r="K126" s="537"/>
      <c r="L126" s="537"/>
    </row>
    <row r="127" spans="1:12" s="358" customFormat="1" x14ac:dyDescent="0.2">
      <c r="A127" s="638"/>
      <c r="B127" s="480">
        <f>30850000+19041000</f>
        <v>49891000</v>
      </c>
      <c r="C127" s="608">
        <f>28037409.79+32194566.7</f>
        <v>60231976.489999995</v>
      </c>
      <c r="D127" s="608">
        <f>28037409.79+32194566.7</f>
        <v>60231976.489999995</v>
      </c>
      <c r="E127" s="447">
        <f t="shared" ref="E127" si="23">D127/C127*100</f>
        <v>100</v>
      </c>
      <c r="F127" s="340">
        <v>1600</v>
      </c>
      <c r="G127" s="372" t="s">
        <v>358</v>
      </c>
      <c r="H127" s="361"/>
      <c r="J127" s="535">
        <f>B118</f>
        <v>0</v>
      </c>
      <c r="K127" s="535">
        <f>C118</f>
        <v>14750461.040000001</v>
      </c>
      <c r="L127" s="535">
        <f>D118</f>
        <v>14750461.040000001</v>
      </c>
    </row>
    <row r="128" spans="1:12" s="358" customFormat="1" ht="13.5" thickBot="1" x14ac:dyDescent="0.25">
      <c r="A128" s="639"/>
      <c r="B128" s="605">
        <v>0</v>
      </c>
      <c r="C128" s="606">
        <f>1468120+341481355.67</f>
        <v>342949475.67000002</v>
      </c>
      <c r="D128" s="606">
        <f>1468120+341481355.67</f>
        <v>342949475.67000002</v>
      </c>
      <c r="E128" s="607">
        <f t="shared" si="22"/>
        <v>100</v>
      </c>
      <c r="F128" s="340">
        <v>1600</v>
      </c>
      <c r="G128" s="372" t="s">
        <v>497</v>
      </c>
      <c r="H128" s="361"/>
      <c r="I128" s="300" t="s">
        <v>34</v>
      </c>
      <c r="J128" s="337">
        <f t="shared" ref="J128:L129" si="24">B125</f>
        <v>49891000</v>
      </c>
      <c r="K128" s="337">
        <f t="shared" si="24"/>
        <v>625082273.59000003</v>
      </c>
      <c r="L128" s="337">
        <f t="shared" si="24"/>
        <v>625082273.59000003</v>
      </c>
    </row>
    <row r="129" spans="1:13" s="358" customFormat="1" ht="13.5" thickTop="1" x14ac:dyDescent="0.2">
      <c r="A129" s="373"/>
      <c r="B129" s="486"/>
      <c r="E129" s="359"/>
      <c r="F129" s="374"/>
      <c r="G129" s="372"/>
      <c r="H129" s="361"/>
      <c r="I129" s="254"/>
      <c r="J129" s="535">
        <f t="shared" si="24"/>
        <v>0</v>
      </c>
      <c r="K129" s="535">
        <f t="shared" si="24"/>
        <v>221900821.43000001</v>
      </c>
      <c r="L129" s="535">
        <f t="shared" si="24"/>
        <v>221900821.43000001</v>
      </c>
    </row>
    <row r="130" spans="1:13" s="338" customFormat="1" x14ac:dyDescent="0.2">
      <c r="B130" s="486"/>
      <c r="E130" s="294"/>
      <c r="F130" s="339"/>
      <c r="G130" s="276"/>
      <c r="J130" s="535">
        <f>B128</f>
        <v>0</v>
      </c>
      <c r="K130" s="535">
        <f>C128</f>
        <v>342949475.67000002</v>
      </c>
      <c r="L130" s="535">
        <f>D128</f>
        <v>342949475.67000002</v>
      </c>
      <c r="M130" s="338" t="s">
        <v>477</v>
      </c>
    </row>
    <row r="131" spans="1:13" s="318" customFormat="1" ht="18.75" thickBot="1" x14ac:dyDescent="0.3">
      <c r="A131" s="313" t="s">
        <v>24</v>
      </c>
      <c r="B131" s="485">
        <f>SUM(,B104,B125)</f>
        <v>205693000</v>
      </c>
      <c r="C131" s="314">
        <f>SUM(,C104,C125)</f>
        <v>1078453857.9400001</v>
      </c>
      <c r="D131" s="314">
        <f>SUM(,D104,D125)</f>
        <v>1022734649.3700001</v>
      </c>
      <c r="E131" s="315">
        <f>D131/C131*100</f>
        <v>94.833417474491526</v>
      </c>
      <c r="F131" s="376"/>
      <c r="G131" s="317"/>
      <c r="I131" s="338"/>
      <c r="J131" s="375">
        <f>SUM(J123:J128)</f>
        <v>205693000</v>
      </c>
      <c r="K131" s="375">
        <f>SUM(K123:K128)</f>
        <v>1078453857.9400001</v>
      </c>
      <c r="L131" s="375">
        <f>SUM(L123:L128)</f>
        <v>1022734649.3700001</v>
      </c>
    </row>
    <row r="132" spans="1:13" s="338" customFormat="1" ht="13.5" thickTop="1" x14ac:dyDescent="0.2">
      <c r="B132" s="486"/>
      <c r="E132" s="294"/>
      <c r="F132" s="339"/>
      <c r="G132" s="276"/>
      <c r="H132" s="276"/>
    </row>
    <row r="133" spans="1:13" s="338" customFormat="1" x14ac:dyDescent="0.2">
      <c r="B133" s="486"/>
      <c r="E133" s="294"/>
      <c r="F133" s="339"/>
      <c r="G133" s="276"/>
    </row>
    <row r="134" spans="1:13" s="338" customFormat="1" x14ac:dyDescent="0.2">
      <c r="B134" s="486"/>
      <c r="E134" s="294"/>
      <c r="F134" s="339"/>
      <c r="G134" s="276"/>
    </row>
    <row r="135" spans="1:13" ht="15" customHeight="1" x14ac:dyDescent="0.25">
      <c r="A135" s="264" t="s">
        <v>30</v>
      </c>
      <c r="B135" s="256"/>
    </row>
    <row r="136" spans="1:13" ht="15" customHeight="1" thickBot="1" x14ac:dyDescent="0.3">
      <c r="A136" s="265" t="s">
        <v>266</v>
      </c>
      <c r="B136" s="256"/>
      <c r="E136" s="267" t="s">
        <v>18</v>
      </c>
    </row>
    <row r="137" spans="1:13" ht="14.25" thickTop="1" thickBot="1" x14ac:dyDescent="0.25">
      <c r="A137" s="268" t="s">
        <v>5</v>
      </c>
      <c r="B137" s="269" t="s">
        <v>0</v>
      </c>
      <c r="C137" s="270" t="s">
        <v>1</v>
      </c>
      <c r="D137" s="271" t="s">
        <v>4</v>
      </c>
      <c r="E137" s="272" t="s">
        <v>6</v>
      </c>
    </row>
    <row r="138" spans="1:13" ht="15.75" thickTop="1" x14ac:dyDescent="0.2">
      <c r="A138" s="273" t="s">
        <v>10</v>
      </c>
      <c r="B138" s="349">
        <f>SUM(B139:B141)</f>
        <v>5622000</v>
      </c>
      <c r="C138" s="349">
        <f t="shared" ref="C138:D138" si="25">SUM(C139:C141)</f>
        <v>4629195.1099999994</v>
      </c>
      <c r="D138" s="349">
        <f t="shared" si="25"/>
        <v>4291846.5199999996</v>
      </c>
      <c r="E138" s="303">
        <f t="shared" ref="E138" si="26">D138/C138*100</f>
        <v>92.712586486768316</v>
      </c>
      <c r="F138" s="261"/>
    </row>
    <row r="139" spans="1:13" x14ac:dyDescent="0.2">
      <c r="A139" s="595" t="s">
        <v>474</v>
      </c>
      <c r="B139" s="480">
        <v>56000</v>
      </c>
      <c r="C139" s="448">
        <v>76000</v>
      </c>
      <c r="D139" s="448">
        <v>63063</v>
      </c>
      <c r="E139" s="443">
        <f>D139/C139*100</f>
        <v>82.977631578947367</v>
      </c>
      <c r="F139" s="285">
        <v>101328</v>
      </c>
      <c r="G139" s="284" t="s">
        <v>478</v>
      </c>
    </row>
    <row r="140" spans="1:13" s="377" customFormat="1" x14ac:dyDescent="0.2">
      <c r="A140" s="635" t="s">
        <v>133</v>
      </c>
      <c r="B140" s="480">
        <v>5566000</v>
      </c>
      <c r="C140" s="448">
        <v>4042839.11</v>
      </c>
      <c r="D140" s="448">
        <v>4042839.11</v>
      </c>
      <c r="E140" s="443">
        <f>D140/C140*100</f>
        <v>100</v>
      </c>
      <c r="F140" s="285">
        <v>101238</v>
      </c>
      <c r="G140" s="378" t="s">
        <v>354</v>
      </c>
      <c r="H140" s="380"/>
      <c r="I140" s="380"/>
    </row>
    <row r="141" spans="1:13" s="338" customFormat="1" ht="13.5" thickBot="1" x14ac:dyDescent="0.25">
      <c r="A141" s="636"/>
      <c r="B141" s="483">
        <v>0</v>
      </c>
      <c r="C141" s="449">
        <v>510356</v>
      </c>
      <c r="D141" s="449">
        <v>185944.41</v>
      </c>
      <c r="E141" s="422">
        <f>D141/C141*100</f>
        <v>36.434255696023953</v>
      </c>
      <c r="F141" s="285">
        <v>101238</v>
      </c>
      <c r="G141" s="531" t="s">
        <v>267</v>
      </c>
      <c r="H141" s="276"/>
    </row>
    <row r="142" spans="1:13" s="338" customFormat="1" ht="13.5" thickTop="1" x14ac:dyDescent="0.2">
      <c r="B142" s="486"/>
      <c r="E142" s="294"/>
      <c r="F142" s="339"/>
      <c r="G142" s="276"/>
      <c r="H142" s="276"/>
    </row>
    <row r="143" spans="1:13" s="338" customFormat="1" ht="15.75" thickBot="1" x14ac:dyDescent="0.25">
      <c r="A143" s="295" t="s">
        <v>29</v>
      </c>
      <c r="B143" s="484"/>
      <c r="C143" s="296"/>
      <c r="D143" s="297"/>
      <c r="E143" s="298" t="s">
        <v>18</v>
      </c>
      <c r="F143" s="339"/>
      <c r="G143" s="276"/>
      <c r="H143" s="276"/>
    </row>
    <row r="144" spans="1:13" s="338" customFormat="1" ht="14.25" thickTop="1" thickBot="1" x14ac:dyDescent="0.25">
      <c r="A144" s="268" t="s">
        <v>5</v>
      </c>
      <c r="B144" s="269" t="s">
        <v>0</v>
      </c>
      <c r="C144" s="270" t="s">
        <v>1</v>
      </c>
      <c r="D144" s="271" t="s">
        <v>4</v>
      </c>
      <c r="E144" s="272" t="s">
        <v>6</v>
      </c>
      <c r="F144" s="339"/>
      <c r="G144" s="276"/>
      <c r="H144" s="276"/>
    </row>
    <row r="145" spans="1:12" s="338" customFormat="1" ht="15.75" thickTop="1" x14ac:dyDescent="0.2">
      <c r="A145" s="273" t="s">
        <v>7</v>
      </c>
      <c r="B145" s="274">
        <f>SUM(B146:B147)</f>
        <v>32000</v>
      </c>
      <c r="C145" s="274">
        <f>SUM(C146:C147)</f>
        <v>38066.21</v>
      </c>
      <c r="D145" s="274">
        <f>SUM(D146:D147)</f>
        <v>38066.21</v>
      </c>
      <c r="E145" s="299">
        <f>D145/C145*100</f>
        <v>100</v>
      </c>
      <c r="F145" s="339"/>
      <c r="G145" s="276"/>
      <c r="H145" s="276"/>
    </row>
    <row r="146" spans="1:12" s="338" customFormat="1" x14ac:dyDescent="0.2">
      <c r="A146" s="631" t="s">
        <v>254</v>
      </c>
      <c r="B146" s="482">
        <v>0</v>
      </c>
      <c r="C146" s="326">
        <v>38066.21</v>
      </c>
      <c r="D146" s="326">
        <v>38066.21</v>
      </c>
      <c r="E146" s="283">
        <f t="shared" ref="E146" si="27">D146/C146*100</f>
        <v>100</v>
      </c>
      <c r="F146" s="285">
        <v>1704</v>
      </c>
      <c r="G146" s="300" t="s">
        <v>412</v>
      </c>
      <c r="H146" s="276"/>
      <c r="I146" s="334" t="s">
        <v>40</v>
      </c>
      <c r="J146" s="310">
        <f>B139</f>
        <v>56000</v>
      </c>
      <c r="K146" s="310">
        <f t="shared" ref="K146:L146" si="28">C139</f>
        <v>76000</v>
      </c>
      <c r="L146" s="310">
        <f t="shared" si="28"/>
        <v>63063</v>
      </c>
    </row>
    <row r="147" spans="1:12" s="338" customFormat="1" ht="13.5" thickBot="1" x14ac:dyDescent="0.25">
      <c r="A147" s="632"/>
      <c r="B147" s="483">
        <v>32000</v>
      </c>
      <c r="C147" s="445">
        <v>0</v>
      </c>
      <c r="D147" s="445">
        <v>0</v>
      </c>
      <c r="E147" s="422">
        <v>0</v>
      </c>
      <c r="F147" s="285">
        <v>1704</v>
      </c>
      <c r="G147" s="300" t="s">
        <v>413</v>
      </c>
      <c r="H147" s="276"/>
      <c r="I147" s="427" t="s">
        <v>36</v>
      </c>
      <c r="J147" s="425">
        <f t="shared" ref="J147:L148" si="29">B140</f>
        <v>5566000</v>
      </c>
      <c r="K147" s="425">
        <f t="shared" si="29"/>
        <v>4042839.11</v>
      </c>
      <c r="L147" s="425">
        <f t="shared" si="29"/>
        <v>4042839.11</v>
      </c>
    </row>
    <row r="148" spans="1:12" s="338" customFormat="1" ht="13.5" thickTop="1" x14ac:dyDescent="0.2">
      <c r="B148" s="486"/>
      <c r="E148" s="294"/>
      <c r="F148" s="339"/>
      <c r="G148" s="276"/>
      <c r="H148" s="276"/>
      <c r="I148" s="281"/>
      <c r="J148" s="573">
        <f t="shared" si="29"/>
        <v>0</v>
      </c>
      <c r="K148" s="573">
        <f t="shared" si="29"/>
        <v>510356</v>
      </c>
      <c r="L148" s="573">
        <f t="shared" si="29"/>
        <v>185944.41</v>
      </c>
    </row>
    <row r="149" spans="1:12" s="338" customFormat="1" x14ac:dyDescent="0.2">
      <c r="B149" s="487"/>
      <c r="C149" s="344"/>
      <c r="D149" s="344"/>
      <c r="E149" s="294"/>
      <c r="F149" s="339"/>
      <c r="G149" s="276"/>
      <c r="H149" s="276"/>
      <c r="I149" s="300" t="s">
        <v>34</v>
      </c>
      <c r="J149" s="337">
        <f>B146+B147</f>
        <v>32000</v>
      </c>
      <c r="K149" s="337">
        <f t="shared" ref="K149:L149" si="30">C146+C147</f>
        <v>38066.21</v>
      </c>
      <c r="L149" s="337">
        <f t="shared" si="30"/>
        <v>38066.21</v>
      </c>
    </row>
    <row r="150" spans="1:12" s="338" customFormat="1" ht="18.75" thickBot="1" x14ac:dyDescent="0.3">
      <c r="A150" s="313" t="s">
        <v>23</v>
      </c>
      <c r="B150" s="485">
        <f>SUM(B138,B145)</f>
        <v>5654000</v>
      </c>
      <c r="C150" s="485">
        <f>SUM(C138,C145)</f>
        <v>4667261.3199999994</v>
      </c>
      <c r="D150" s="485">
        <f>SUM(D138,D145)</f>
        <v>4329912.7299999995</v>
      </c>
      <c r="E150" s="315">
        <f>D150/C150*100</f>
        <v>92.772022673030875</v>
      </c>
      <c r="F150" s="339"/>
      <c r="G150" s="276"/>
      <c r="H150" s="276"/>
      <c r="I150" s="311"/>
      <c r="J150" s="286">
        <f>SUM(J146:J149)</f>
        <v>5654000</v>
      </c>
      <c r="K150" s="286">
        <f t="shared" ref="K150:L150" si="31">SUM(K146:K149)</f>
        <v>4667261.3199999994</v>
      </c>
      <c r="L150" s="286">
        <f t="shared" si="31"/>
        <v>4329912.7299999995</v>
      </c>
    </row>
    <row r="151" spans="1:12" s="338" customFormat="1" ht="13.5" thickTop="1" x14ac:dyDescent="0.2">
      <c r="B151" s="486"/>
      <c r="E151" s="294"/>
      <c r="F151" s="339"/>
      <c r="G151" s="276"/>
      <c r="H151" s="276"/>
    </row>
    <row r="152" spans="1:12" s="338" customFormat="1" x14ac:dyDescent="0.2">
      <c r="B152" s="486"/>
      <c r="E152" s="294"/>
      <c r="F152" s="339"/>
      <c r="G152" s="276"/>
      <c r="H152" s="276"/>
    </row>
    <row r="153" spans="1:12" s="338" customFormat="1" ht="18" x14ac:dyDescent="0.25">
      <c r="A153" s="252" t="s">
        <v>61</v>
      </c>
      <c r="B153" s="490"/>
      <c r="C153" s="382"/>
      <c r="D153" s="383"/>
      <c r="E153" s="382"/>
      <c r="F153" s="339"/>
      <c r="G153" s="276"/>
      <c r="H153" s="276"/>
    </row>
    <row r="154" spans="1:12" s="338" customFormat="1" ht="15.75" thickBot="1" x14ac:dyDescent="0.3">
      <c r="A154" s="265" t="s">
        <v>262</v>
      </c>
      <c r="B154" s="490"/>
      <c r="C154" s="382"/>
      <c r="D154" s="383"/>
      <c r="E154" s="382" t="s">
        <v>18</v>
      </c>
      <c r="F154" s="339"/>
      <c r="G154" s="276"/>
      <c r="H154" s="276"/>
    </row>
    <row r="155" spans="1:12" s="338" customFormat="1" ht="14.25" thickTop="1" thickBot="1" x14ac:dyDescent="0.25">
      <c r="A155" s="384" t="s">
        <v>5</v>
      </c>
      <c r="B155" s="269" t="s">
        <v>0</v>
      </c>
      <c r="C155" s="270" t="s">
        <v>1</v>
      </c>
      <c r="D155" s="271" t="s">
        <v>4</v>
      </c>
      <c r="E155" s="272" t="s">
        <v>6</v>
      </c>
      <c r="F155" s="339"/>
      <c r="G155" s="276"/>
      <c r="H155" s="276"/>
    </row>
    <row r="156" spans="1:12" s="338" customFormat="1" ht="15.75" thickTop="1" x14ac:dyDescent="0.25">
      <c r="A156" s="331" t="s">
        <v>62</v>
      </c>
      <c r="B156" s="385">
        <f>SUM(B157:B159)</f>
        <v>3775000</v>
      </c>
      <c r="C156" s="385">
        <f>SUM(C157:C159)</f>
        <v>2542292.7999999998</v>
      </c>
      <c r="D156" s="385">
        <f>SUM(D157:D159)</f>
        <v>2461139.8199999998</v>
      </c>
      <c r="E156" s="386">
        <f t="shared" ref="E156:E159" si="32">D156/C156*100</f>
        <v>96.807882239213356</v>
      </c>
      <c r="F156" s="339"/>
      <c r="G156" s="276"/>
      <c r="H156" s="276"/>
    </row>
    <row r="157" spans="1:12" s="338" customFormat="1" x14ac:dyDescent="0.2">
      <c r="A157" s="570" t="s">
        <v>134</v>
      </c>
      <c r="B157" s="343">
        <v>1350000</v>
      </c>
      <c r="C157" s="343">
        <v>635061.6</v>
      </c>
      <c r="D157" s="343">
        <v>635061.6</v>
      </c>
      <c r="E157" s="443">
        <f t="shared" si="32"/>
        <v>100</v>
      </c>
      <c r="F157" s="388">
        <v>101169</v>
      </c>
      <c r="G157" s="378" t="s">
        <v>354</v>
      </c>
    </row>
    <row r="158" spans="1:12" s="338" customFormat="1" ht="15" customHeight="1" x14ac:dyDescent="0.2">
      <c r="A158" s="595" t="s">
        <v>365</v>
      </c>
      <c r="B158" s="533">
        <v>2425000</v>
      </c>
      <c r="C158" s="533">
        <v>1846731.2</v>
      </c>
      <c r="D158" s="533">
        <v>1765578.22</v>
      </c>
      <c r="E158" s="443">
        <f t="shared" si="32"/>
        <v>95.605587862489145</v>
      </c>
      <c r="F158" s="388">
        <v>101425</v>
      </c>
      <c r="G158" s="378" t="s">
        <v>72</v>
      </c>
    </row>
    <row r="159" spans="1:12" s="338" customFormat="1" ht="15" customHeight="1" thickBot="1" x14ac:dyDescent="0.25">
      <c r="A159" s="596" t="s">
        <v>401</v>
      </c>
      <c r="B159" s="453">
        <v>0</v>
      </c>
      <c r="C159" s="453">
        <v>60500</v>
      </c>
      <c r="D159" s="453">
        <v>60500</v>
      </c>
      <c r="E159" s="422">
        <f t="shared" si="32"/>
        <v>100</v>
      </c>
      <c r="F159" s="388">
        <v>101425</v>
      </c>
      <c r="G159" s="378" t="s">
        <v>72</v>
      </c>
    </row>
    <row r="160" spans="1:12" s="338" customFormat="1" ht="15" customHeight="1" thickTop="1" x14ac:dyDescent="0.2">
      <c r="A160" s="452"/>
      <c r="B160" s="342"/>
      <c r="C160" s="342"/>
      <c r="D160" s="342"/>
      <c r="E160" s="387"/>
      <c r="F160" s="388"/>
      <c r="G160" s="378"/>
    </row>
    <row r="161" spans="1:12" s="338" customFormat="1" ht="15" customHeight="1" x14ac:dyDescent="0.2">
      <c r="A161" s="452"/>
      <c r="B161" s="342"/>
      <c r="C161" s="342"/>
      <c r="D161" s="342"/>
      <c r="E161" s="387"/>
      <c r="F161" s="388"/>
      <c r="G161" s="378"/>
      <c r="I161" s="335" t="s">
        <v>36</v>
      </c>
      <c r="J161" s="336">
        <f>B157+B158+B159</f>
        <v>3775000</v>
      </c>
      <c r="K161" s="336">
        <f>C157+C158+C159</f>
        <v>2542292.7999999998</v>
      </c>
      <c r="L161" s="336">
        <f>D157+D158+D159</f>
        <v>2461139.8199999998</v>
      </c>
    </row>
    <row r="162" spans="1:12" s="338" customFormat="1" ht="18.75" thickBot="1" x14ac:dyDescent="0.25">
      <c r="A162" s="450" t="s">
        <v>63</v>
      </c>
      <c r="B162" s="491">
        <f>B156</f>
        <v>3775000</v>
      </c>
      <c r="C162" s="391">
        <f>C156</f>
        <v>2542292.7999999998</v>
      </c>
      <c r="D162" s="391">
        <f>D156</f>
        <v>2461139.8199999998</v>
      </c>
      <c r="E162" s="451">
        <f>D162/C162*100</f>
        <v>96.807882239213356</v>
      </c>
      <c r="F162" s="339"/>
      <c r="G162" s="276"/>
      <c r="J162" s="381">
        <f>J161</f>
        <v>3775000</v>
      </c>
      <c r="K162" s="381">
        <f t="shared" ref="K162:L162" si="33">K161</f>
        <v>2542292.7999999998</v>
      </c>
      <c r="L162" s="381">
        <f t="shared" si="33"/>
        <v>2461139.8199999998</v>
      </c>
    </row>
    <row r="163" spans="1:12" s="338" customFormat="1" ht="13.5" thickTop="1" x14ac:dyDescent="0.2">
      <c r="B163" s="486"/>
      <c r="E163" s="294"/>
      <c r="F163" s="339"/>
      <c r="G163" s="276"/>
    </row>
    <row r="164" spans="1:12" s="338" customFormat="1" x14ac:dyDescent="0.2">
      <c r="B164" s="486"/>
      <c r="E164" s="294"/>
      <c r="F164" s="339"/>
      <c r="G164" s="276"/>
    </row>
    <row r="165" spans="1:12" s="338" customFormat="1" ht="18" x14ac:dyDescent="0.25">
      <c r="A165" s="252" t="s">
        <v>406</v>
      </c>
      <c r="B165" s="490"/>
      <c r="C165" s="382"/>
      <c r="D165" s="383"/>
      <c r="E165" s="382"/>
      <c r="F165" s="339"/>
      <c r="G165" s="276"/>
    </row>
    <row r="166" spans="1:12" s="338" customFormat="1" ht="15.75" thickBot="1" x14ac:dyDescent="0.3">
      <c r="A166" s="265" t="s">
        <v>262</v>
      </c>
      <c r="B166" s="490"/>
      <c r="C166" s="382"/>
      <c r="D166" s="383"/>
      <c r="E166" s="382" t="s">
        <v>18</v>
      </c>
      <c r="F166" s="339"/>
      <c r="G166" s="276"/>
    </row>
    <row r="167" spans="1:12" s="338" customFormat="1" ht="14.25" thickTop="1" thickBot="1" x14ac:dyDescent="0.25">
      <c r="A167" s="384" t="s">
        <v>5</v>
      </c>
      <c r="B167" s="269" t="s">
        <v>0</v>
      </c>
      <c r="C167" s="270" t="s">
        <v>1</v>
      </c>
      <c r="D167" s="271" t="s">
        <v>4</v>
      </c>
      <c r="E167" s="272" t="s">
        <v>6</v>
      </c>
      <c r="F167" s="339"/>
      <c r="G167" s="276"/>
    </row>
    <row r="168" spans="1:12" s="338" customFormat="1" ht="15.75" thickTop="1" x14ac:dyDescent="0.25">
      <c r="A168" s="392" t="s">
        <v>53</v>
      </c>
      <c r="B168" s="393">
        <f>SUM(B169:B170)</f>
        <v>274000</v>
      </c>
      <c r="C168" s="393">
        <f>SUM(C169:C170)</f>
        <v>1666170</v>
      </c>
      <c r="D168" s="393">
        <f>SUM(D169:D170)</f>
        <v>1666170</v>
      </c>
      <c r="E168" s="299">
        <f>D168/C168*100</f>
        <v>100</v>
      </c>
      <c r="F168" s="339"/>
      <c r="G168" s="276"/>
    </row>
    <row r="169" spans="1:12" s="338" customFormat="1" x14ac:dyDescent="0.2">
      <c r="A169" s="633" t="s">
        <v>135</v>
      </c>
      <c r="B169" s="389">
        <v>274000</v>
      </c>
      <c r="C169" s="389">
        <v>166617</v>
      </c>
      <c r="D169" s="389">
        <v>166617</v>
      </c>
      <c r="E169" s="283">
        <f>D169/C169*100</f>
        <v>100</v>
      </c>
      <c r="F169" s="339">
        <v>101244</v>
      </c>
      <c r="G169" s="378" t="s">
        <v>354</v>
      </c>
    </row>
    <row r="170" spans="1:12" s="338" customFormat="1" ht="13.5" thickBot="1" x14ac:dyDescent="0.25">
      <c r="A170" s="634"/>
      <c r="B170" s="453">
        <v>0</v>
      </c>
      <c r="C170" s="453">
        <v>1499553</v>
      </c>
      <c r="D170" s="453">
        <f>1416244.5+83308.5</f>
        <v>1499553</v>
      </c>
      <c r="E170" s="422">
        <f>D170/C170*100</f>
        <v>100</v>
      </c>
      <c r="F170" s="339">
        <v>101244</v>
      </c>
      <c r="G170" s="532" t="s">
        <v>355</v>
      </c>
    </row>
    <row r="171" spans="1:12" s="338" customFormat="1" ht="15.75" thickTop="1" x14ac:dyDescent="0.25">
      <c r="A171" s="394"/>
      <c r="B171" s="395"/>
      <c r="C171" s="395"/>
      <c r="D171" s="395"/>
      <c r="E171" s="396"/>
      <c r="F171" s="339"/>
      <c r="G171" s="276"/>
      <c r="I171" s="335" t="s">
        <v>36</v>
      </c>
      <c r="J171" s="336">
        <f>B169</f>
        <v>274000</v>
      </c>
      <c r="K171" s="336">
        <f t="shared" ref="K171:L171" si="34">C169</f>
        <v>166617</v>
      </c>
      <c r="L171" s="336">
        <f t="shared" si="34"/>
        <v>166617</v>
      </c>
    </row>
    <row r="172" spans="1:12" s="338" customFormat="1" ht="15" x14ac:dyDescent="0.25">
      <c r="A172" s="394"/>
      <c r="B172" s="395"/>
      <c r="C172" s="395"/>
      <c r="D172" s="395"/>
      <c r="E172" s="396"/>
      <c r="F172" s="339"/>
      <c r="G172" s="276"/>
      <c r="J172" s="537">
        <f>B170</f>
        <v>0</v>
      </c>
      <c r="K172" s="537">
        <f t="shared" ref="K172:L172" si="35">C170</f>
        <v>1499553</v>
      </c>
      <c r="L172" s="537">
        <f t="shared" si="35"/>
        <v>1499553</v>
      </c>
    </row>
    <row r="173" spans="1:12" s="338" customFormat="1" ht="18.75" thickBot="1" x14ac:dyDescent="0.25">
      <c r="A173" s="390" t="s">
        <v>54</v>
      </c>
      <c r="B173" s="391">
        <f>B168</f>
        <v>274000</v>
      </c>
      <c r="C173" s="391">
        <f>C168</f>
        <v>1666170</v>
      </c>
      <c r="D173" s="391">
        <f>D168</f>
        <v>1666170</v>
      </c>
      <c r="E173" s="315">
        <f>D173/C173*100</f>
        <v>100</v>
      </c>
      <c r="F173" s="339"/>
      <c r="G173" s="276"/>
      <c r="H173" s="276"/>
      <c r="J173" s="381">
        <f>SUM(J171:J172)</f>
        <v>274000</v>
      </c>
      <c r="K173" s="381">
        <f t="shared" ref="K173:L173" si="36">SUM(K171:K172)</f>
        <v>1666170</v>
      </c>
      <c r="L173" s="381">
        <f t="shared" si="36"/>
        <v>1666170</v>
      </c>
    </row>
    <row r="174" spans="1:12" s="338" customFormat="1" ht="18.75" thickTop="1" x14ac:dyDescent="0.2">
      <c r="A174" s="397"/>
      <c r="B174" s="398"/>
      <c r="C174" s="398"/>
      <c r="D174" s="398"/>
      <c r="E174" s="348"/>
      <c r="F174" s="339"/>
      <c r="G174" s="276"/>
      <c r="H174" s="276"/>
    </row>
    <row r="175" spans="1:12" s="338" customFormat="1" ht="18" x14ac:dyDescent="0.2">
      <c r="A175" s="397"/>
      <c r="B175" s="398"/>
      <c r="C175" s="398"/>
      <c r="D175" s="398"/>
      <c r="E175" s="348"/>
      <c r="F175" s="339"/>
      <c r="G175" s="276"/>
      <c r="H175" s="276"/>
    </row>
    <row r="176" spans="1:12" s="338" customFormat="1" ht="18" x14ac:dyDescent="0.25">
      <c r="A176" s="252" t="s">
        <v>407</v>
      </c>
      <c r="B176" s="490"/>
      <c r="C176" s="382"/>
      <c r="D176" s="383"/>
      <c r="E176" s="382"/>
      <c r="F176" s="339"/>
      <c r="G176" s="276"/>
      <c r="H176" s="276"/>
    </row>
    <row r="177" spans="1:12" s="338" customFormat="1" ht="15.75" thickBot="1" x14ac:dyDescent="0.3">
      <c r="A177" s="265" t="s">
        <v>262</v>
      </c>
      <c r="B177" s="490"/>
      <c r="C177" s="382"/>
      <c r="D177" s="383"/>
      <c r="E177" s="382" t="s">
        <v>18</v>
      </c>
      <c r="F177" s="339"/>
      <c r="G177" s="276"/>
      <c r="H177" s="276"/>
    </row>
    <row r="178" spans="1:12" s="338" customFormat="1" ht="14.25" thickTop="1" thickBot="1" x14ac:dyDescent="0.25">
      <c r="A178" s="384" t="s">
        <v>5</v>
      </c>
      <c r="B178" s="269" t="s">
        <v>0</v>
      </c>
      <c r="C178" s="270" t="s">
        <v>1</v>
      </c>
      <c r="D178" s="271" t="s">
        <v>4</v>
      </c>
      <c r="E178" s="272" t="s">
        <v>6</v>
      </c>
      <c r="F178" s="339"/>
      <c r="G178" s="276"/>
      <c r="H178" s="276"/>
    </row>
    <row r="179" spans="1:12" s="338" customFormat="1" ht="15.75" thickTop="1" x14ac:dyDescent="0.25">
      <c r="A179" s="392" t="s">
        <v>263</v>
      </c>
      <c r="B179" s="393">
        <f>SUM(B180:B187)</f>
        <v>10164000</v>
      </c>
      <c r="C179" s="393">
        <f>SUM(C180:C187)</f>
        <v>13361566.449999999</v>
      </c>
      <c r="D179" s="393">
        <f>SUM(D180:D187)</f>
        <v>13310902.02</v>
      </c>
      <c r="E179" s="299">
        <f>D179/C179*100</f>
        <v>99.62081968315924</v>
      </c>
      <c r="F179" s="339"/>
      <c r="G179" s="276"/>
      <c r="H179" s="276"/>
    </row>
    <row r="180" spans="1:12" s="338" customFormat="1" x14ac:dyDescent="0.2">
      <c r="A180" s="624" t="s">
        <v>479</v>
      </c>
      <c r="B180" s="389">
        <v>1824000</v>
      </c>
      <c r="C180" s="389">
        <v>1977500</v>
      </c>
      <c r="D180" s="389">
        <f>1337375.98+626739.83</f>
        <v>1964115.81</v>
      </c>
      <c r="E180" s="283">
        <f t="shared" ref="E180:E181" si="37">D180/C180*100</f>
        <v>99.323176232616945</v>
      </c>
      <c r="F180" s="339">
        <v>101350</v>
      </c>
      <c r="G180" s="378" t="s">
        <v>354</v>
      </c>
      <c r="H180" s="276"/>
    </row>
    <row r="181" spans="1:12" s="338" customFormat="1" x14ac:dyDescent="0.2">
      <c r="A181" s="625"/>
      <c r="B181" s="389">
        <v>0</v>
      </c>
      <c r="C181" s="389">
        <f>7578464.04</f>
        <v>7578464.04</v>
      </c>
      <c r="D181" s="389">
        <v>7578463.8600000003</v>
      </c>
      <c r="E181" s="283">
        <f t="shared" si="37"/>
        <v>99.999997624848532</v>
      </c>
      <c r="F181" s="339">
        <v>101350</v>
      </c>
      <c r="G181" s="532" t="s">
        <v>355</v>
      </c>
      <c r="H181" s="592">
        <f>C181-D181</f>
        <v>0.17999999970197678</v>
      </c>
    </row>
    <row r="182" spans="1:12" s="338" customFormat="1" x14ac:dyDescent="0.2">
      <c r="A182" s="624" t="s">
        <v>366</v>
      </c>
      <c r="B182" s="389">
        <v>300000</v>
      </c>
      <c r="C182" s="389">
        <v>286980</v>
      </c>
      <c r="D182" s="389">
        <v>286976.74</v>
      </c>
      <c r="E182" s="283">
        <f>D182/C182*100</f>
        <v>99.998864032336741</v>
      </c>
      <c r="F182" s="339">
        <v>101429</v>
      </c>
      <c r="G182" s="378" t="s">
        <v>354</v>
      </c>
      <c r="H182" s="276"/>
    </row>
    <row r="183" spans="1:12" s="338" customFormat="1" x14ac:dyDescent="0.2">
      <c r="A183" s="625"/>
      <c r="B183" s="389">
        <v>6285000</v>
      </c>
      <c r="C183" s="389">
        <v>2652262.41</v>
      </c>
      <c r="D183" s="389">
        <v>2614985.61</v>
      </c>
      <c r="E183" s="283">
        <f>D183/C183*100</f>
        <v>98.5945282088434</v>
      </c>
      <c r="F183" s="339">
        <v>101429</v>
      </c>
      <c r="G183" s="378" t="s">
        <v>499</v>
      </c>
      <c r="H183" s="276"/>
    </row>
    <row r="184" spans="1:12" s="338" customFormat="1" x14ac:dyDescent="0.2">
      <c r="A184" s="597" t="s">
        <v>470</v>
      </c>
      <c r="B184" s="533">
        <v>877500</v>
      </c>
      <c r="C184" s="533">
        <v>0</v>
      </c>
      <c r="D184" s="533">
        <v>0</v>
      </c>
      <c r="E184" s="283">
        <v>0</v>
      </c>
      <c r="F184" s="339">
        <v>101434</v>
      </c>
      <c r="G184" s="378" t="s">
        <v>354</v>
      </c>
      <c r="H184" s="276"/>
    </row>
    <row r="185" spans="1:12" s="338" customFormat="1" x14ac:dyDescent="0.2">
      <c r="A185" s="597" t="s">
        <v>367</v>
      </c>
      <c r="B185" s="533">
        <v>877500</v>
      </c>
      <c r="C185" s="533">
        <v>0</v>
      </c>
      <c r="D185" s="533">
        <v>0</v>
      </c>
      <c r="E185" s="283">
        <v>0</v>
      </c>
      <c r="F185" s="339">
        <v>101435</v>
      </c>
      <c r="G185" s="378" t="s">
        <v>354</v>
      </c>
      <c r="H185" s="276"/>
    </row>
    <row r="186" spans="1:12" s="338" customFormat="1" x14ac:dyDescent="0.2">
      <c r="A186" s="597" t="s">
        <v>471</v>
      </c>
      <c r="B186" s="533">
        <v>0</v>
      </c>
      <c r="C186" s="533">
        <v>425920</v>
      </c>
      <c r="D186" s="533">
        <v>425920</v>
      </c>
      <c r="E186" s="283">
        <f t="shared" ref="E186:E187" si="38">D186/C186*100</f>
        <v>100</v>
      </c>
      <c r="F186" s="339">
        <v>101472</v>
      </c>
      <c r="G186" s="378" t="s">
        <v>354</v>
      </c>
      <c r="H186" s="276"/>
    </row>
    <row r="187" spans="1:12" s="338" customFormat="1" ht="13.5" thickBot="1" x14ac:dyDescent="0.25">
      <c r="A187" s="572" t="s">
        <v>472</v>
      </c>
      <c r="B187" s="453">
        <v>0</v>
      </c>
      <c r="C187" s="453">
        <v>440440</v>
      </c>
      <c r="D187" s="453">
        <v>440440</v>
      </c>
      <c r="E187" s="422">
        <f t="shared" si="38"/>
        <v>100</v>
      </c>
      <c r="F187" s="339">
        <v>101473</v>
      </c>
      <c r="G187" s="378" t="s">
        <v>354</v>
      </c>
      <c r="H187" s="276"/>
      <c r="I187" s="335" t="s">
        <v>36</v>
      </c>
      <c r="J187" s="336">
        <f>B182+B184+B185+B186+B187+B180+B183</f>
        <v>10164000</v>
      </c>
      <c r="K187" s="336">
        <f t="shared" ref="K187:L187" si="39">C182+C184+C185+C186+C187+C180+C183</f>
        <v>5783102.4100000001</v>
      </c>
      <c r="L187" s="336">
        <f t="shared" si="39"/>
        <v>5732438.1600000001</v>
      </c>
    </row>
    <row r="188" spans="1:12" s="338" customFormat="1" ht="15.75" thickTop="1" x14ac:dyDescent="0.25">
      <c r="A188" s="394"/>
      <c r="B188" s="395"/>
      <c r="C188" s="395"/>
      <c r="D188" s="395"/>
      <c r="E188" s="396"/>
      <c r="F188" s="339"/>
      <c r="G188" s="276"/>
      <c r="H188" s="276"/>
      <c r="J188" s="537">
        <f>B181</f>
        <v>0</v>
      </c>
      <c r="K188" s="537">
        <f t="shared" ref="K188:L188" si="40">C181</f>
        <v>7578464.04</v>
      </c>
      <c r="L188" s="537">
        <f t="shared" si="40"/>
        <v>7578463.8600000003</v>
      </c>
    </row>
    <row r="189" spans="1:12" s="338" customFormat="1" ht="15" x14ac:dyDescent="0.25">
      <c r="A189" s="394"/>
      <c r="B189" s="395"/>
      <c r="C189" s="395"/>
      <c r="D189" s="395"/>
      <c r="E189" s="396"/>
      <c r="F189" s="339"/>
      <c r="G189" s="276"/>
      <c r="H189" s="276"/>
      <c r="J189" s="573"/>
      <c r="K189" s="573"/>
      <c r="L189" s="573"/>
    </row>
    <row r="190" spans="1:12" s="338" customFormat="1" ht="18.75" thickBot="1" x14ac:dyDescent="0.25">
      <c r="A190" s="390" t="s">
        <v>264</v>
      </c>
      <c r="B190" s="391">
        <f>B179</f>
        <v>10164000</v>
      </c>
      <c r="C190" s="391">
        <f>C179</f>
        <v>13361566.449999999</v>
      </c>
      <c r="D190" s="391">
        <f>D179</f>
        <v>13310902.02</v>
      </c>
      <c r="E190" s="315">
        <f>D190/C190*100</f>
        <v>99.62081968315924</v>
      </c>
      <c r="F190" s="339"/>
      <c r="G190" s="276"/>
      <c r="H190" s="276"/>
      <c r="J190" s="381">
        <f>SUM(J187:J189)</f>
        <v>10164000</v>
      </c>
      <c r="K190" s="381">
        <f>SUM(K187:K189)</f>
        <v>13361566.449999999</v>
      </c>
      <c r="L190" s="381">
        <f>SUM(L187:L189)</f>
        <v>13310902.02</v>
      </c>
    </row>
    <row r="191" spans="1:12" s="338" customFormat="1" ht="18.75" thickTop="1" x14ac:dyDescent="0.2">
      <c r="A191" s="397"/>
      <c r="B191" s="398"/>
      <c r="C191" s="398"/>
      <c r="D191" s="398"/>
      <c r="E191" s="348"/>
      <c r="F191" s="339"/>
      <c r="G191" s="276"/>
      <c r="H191" s="276"/>
      <c r="J191" s="381"/>
      <c r="K191" s="381"/>
      <c r="L191" s="381"/>
    </row>
    <row r="192" spans="1:12" s="338" customFormat="1" ht="18" x14ac:dyDescent="0.2">
      <c r="A192" s="397"/>
      <c r="B192" s="398"/>
      <c r="C192" s="398"/>
      <c r="D192" s="398"/>
      <c r="E192" s="348"/>
      <c r="F192" s="339"/>
      <c r="G192" s="276"/>
      <c r="H192" s="276"/>
      <c r="J192" s="381"/>
      <c r="K192" s="381"/>
      <c r="L192" s="381"/>
    </row>
    <row r="193" spans="1:12" s="338" customFormat="1" ht="18" x14ac:dyDescent="0.25">
      <c r="A193" s="252" t="s">
        <v>402</v>
      </c>
      <c r="B193" s="490"/>
      <c r="C193" s="382"/>
      <c r="D193" s="383"/>
      <c r="E193" s="382"/>
      <c r="F193" s="339"/>
      <c r="G193" s="276"/>
      <c r="H193" s="276"/>
    </row>
    <row r="194" spans="1:12" s="338" customFormat="1" ht="15.75" thickBot="1" x14ac:dyDescent="0.3">
      <c r="A194" s="265" t="s">
        <v>262</v>
      </c>
      <c r="B194" s="490"/>
      <c r="C194" s="382"/>
      <c r="D194" s="383"/>
      <c r="E194" s="382" t="s">
        <v>18</v>
      </c>
      <c r="F194" s="339"/>
      <c r="G194" s="276"/>
      <c r="H194" s="276"/>
    </row>
    <row r="195" spans="1:12" s="338" customFormat="1" ht="14.25" thickTop="1" thickBot="1" x14ac:dyDescent="0.25">
      <c r="A195" s="384" t="s">
        <v>5</v>
      </c>
      <c r="B195" s="269" t="s">
        <v>0</v>
      </c>
      <c r="C195" s="270" t="s">
        <v>1</v>
      </c>
      <c r="D195" s="271" t="s">
        <v>4</v>
      </c>
      <c r="E195" s="272" t="s">
        <v>6</v>
      </c>
      <c r="F195" s="339"/>
      <c r="G195" s="276"/>
      <c r="H195" s="276"/>
    </row>
    <row r="196" spans="1:12" s="338" customFormat="1" ht="15.75" thickTop="1" x14ac:dyDescent="0.25">
      <c r="A196" s="392" t="s">
        <v>405</v>
      </c>
      <c r="B196" s="393">
        <f>SUM(B197:B197)</f>
        <v>0</v>
      </c>
      <c r="C196" s="393">
        <f>SUM(C197:C197)</f>
        <v>1200000</v>
      </c>
      <c r="D196" s="393">
        <f>SUM(D197:D197)</f>
        <v>359370</v>
      </c>
      <c r="E196" s="299">
        <f>D196/C196*100</f>
        <v>29.947499999999998</v>
      </c>
      <c r="F196" s="339"/>
      <c r="G196" s="276"/>
      <c r="H196" s="276"/>
    </row>
    <row r="197" spans="1:12" s="338" customFormat="1" ht="13.5" thickBot="1" x14ac:dyDescent="0.25">
      <c r="A197" s="572" t="s">
        <v>473</v>
      </c>
      <c r="B197" s="453">
        <v>0</v>
      </c>
      <c r="C197" s="453">
        <v>1200000</v>
      </c>
      <c r="D197" s="453">
        <v>359370</v>
      </c>
      <c r="E197" s="422">
        <f t="shared" ref="E197" si="41">D197/C197*100</f>
        <v>29.947499999999998</v>
      </c>
      <c r="F197" s="339">
        <v>101477</v>
      </c>
      <c r="G197" s="378" t="s">
        <v>354</v>
      </c>
      <c r="H197" s="276"/>
    </row>
    <row r="198" spans="1:12" ht="15.75" thickTop="1" x14ac:dyDescent="0.25">
      <c r="A198" s="394"/>
      <c r="B198" s="395"/>
      <c r="C198" s="395"/>
      <c r="D198" s="395"/>
      <c r="E198" s="396"/>
      <c r="F198" s="339"/>
      <c r="G198" s="276"/>
      <c r="H198" s="276"/>
    </row>
    <row r="199" spans="1:12" ht="15" x14ac:dyDescent="0.25">
      <c r="A199" s="394"/>
      <c r="B199" s="395"/>
      <c r="C199" s="395"/>
      <c r="D199" s="395"/>
      <c r="E199" s="396"/>
      <c r="F199" s="339"/>
      <c r="G199" s="276"/>
      <c r="H199" s="276"/>
      <c r="I199" s="335" t="s">
        <v>36</v>
      </c>
      <c r="J199" s="336">
        <f>B197</f>
        <v>0</v>
      </c>
      <c r="K199" s="336">
        <f t="shared" ref="K199:L199" si="42">C197</f>
        <v>1200000</v>
      </c>
      <c r="L199" s="336">
        <f t="shared" si="42"/>
        <v>359370</v>
      </c>
    </row>
    <row r="200" spans="1:12" ht="18.75" thickBot="1" x14ac:dyDescent="0.25">
      <c r="A200" s="390" t="s">
        <v>403</v>
      </c>
      <c r="B200" s="391">
        <f>B196</f>
        <v>0</v>
      </c>
      <c r="C200" s="391">
        <f>C196</f>
        <v>1200000</v>
      </c>
      <c r="D200" s="391">
        <f>D196</f>
        <v>359370</v>
      </c>
      <c r="E200" s="315">
        <f>D200/C200*100</f>
        <v>29.947499999999998</v>
      </c>
      <c r="F200" s="339"/>
      <c r="G200" s="276"/>
      <c r="H200" s="276"/>
      <c r="I200" s="338"/>
      <c r="J200" s="381">
        <f>SUM(J199:J199)</f>
        <v>0</v>
      </c>
      <c r="K200" s="381">
        <f>SUM(K199:K199)</f>
        <v>1200000</v>
      </c>
      <c r="L200" s="381">
        <f>SUM(L199:L199)</f>
        <v>359370</v>
      </c>
    </row>
    <row r="201" spans="1:12" ht="13.5" thickTop="1" x14ac:dyDescent="0.2">
      <c r="F201" s="400"/>
      <c r="G201" s="276"/>
      <c r="H201" s="276"/>
    </row>
    <row r="202" spans="1:12" x14ac:dyDescent="0.2">
      <c r="F202" s="400"/>
      <c r="G202" s="276"/>
      <c r="H202" s="276"/>
    </row>
    <row r="203" spans="1:12" ht="14.25" x14ac:dyDescent="0.2">
      <c r="A203" s="401" t="s">
        <v>12</v>
      </c>
      <c r="B203" s="401"/>
      <c r="C203" s="401"/>
      <c r="D203" s="401"/>
      <c r="E203" s="402"/>
      <c r="F203" s="403"/>
      <c r="G203" s="276"/>
      <c r="H203" s="276"/>
    </row>
    <row r="204" spans="1:12" ht="14.25" x14ac:dyDescent="0.2">
      <c r="A204" s="404" t="s">
        <v>16</v>
      </c>
      <c r="B204" s="399">
        <f>SUM(B49)</f>
        <v>70266000</v>
      </c>
      <c r="C204" s="399">
        <f>SUM(C49)</f>
        <v>103019870.45999999</v>
      </c>
      <c r="D204" s="399">
        <f>SUM(D49)</f>
        <v>91517091.529999986</v>
      </c>
      <c r="E204" s="405">
        <f t="shared" ref="E204:E213" si="43">D204/C204*100</f>
        <v>88.834407499603444</v>
      </c>
      <c r="F204" s="406"/>
      <c r="G204" s="276"/>
      <c r="H204" s="276"/>
    </row>
    <row r="205" spans="1:12" ht="14.25" x14ac:dyDescent="0.2">
      <c r="A205" s="404" t="s">
        <v>15</v>
      </c>
      <c r="B205" s="399">
        <f>SUM(B81)</f>
        <v>53955000</v>
      </c>
      <c r="C205" s="399">
        <f>SUM(C81)</f>
        <v>80206674.040000007</v>
      </c>
      <c r="D205" s="399">
        <f>SUM(D81)</f>
        <v>60343531.079999998</v>
      </c>
      <c r="E205" s="405">
        <f t="shared" si="43"/>
        <v>75.235049704100661</v>
      </c>
      <c r="F205" s="407"/>
      <c r="G205" s="276"/>
      <c r="H205" s="276"/>
    </row>
    <row r="206" spans="1:12" ht="14.25" x14ac:dyDescent="0.2">
      <c r="A206" s="404" t="s">
        <v>17</v>
      </c>
      <c r="B206" s="399">
        <f>SUM(B98)</f>
        <v>19690000</v>
      </c>
      <c r="C206" s="399">
        <f>SUM(C98)</f>
        <v>54237358.589999996</v>
      </c>
      <c r="D206" s="399">
        <f>SUM(D98)</f>
        <v>53731174.969999999</v>
      </c>
      <c r="E206" s="405">
        <f t="shared" si="43"/>
        <v>99.066725162951926</v>
      </c>
      <c r="G206" s="276"/>
      <c r="H206" s="276"/>
    </row>
    <row r="207" spans="1:12" ht="14.25" x14ac:dyDescent="0.2">
      <c r="A207" s="404" t="s">
        <v>13</v>
      </c>
      <c r="B207" s="399">
        <f>SUM(B131)</f>
        <v>205693000</v>
      </c>
      <c r="C207" s="399">
        <f>SUM(C131)</f>
        <v>1078453857.9400001</v>
      </c>
      <c r="D207" s="399">
        <f>SUM(D131)</f>
        <v>1022734649.3700001</v>
      </c>
      <c r="E207" s="405">
        <f t="shared" si="43"/>
        <v>94.833417474491526</v>
      </c>
      <c r="G207" s="276"/>
      <c r="H207" s="276"/>
      <c r="I207" s="352" t="s">
        <v>38</v>
      </c>
      <c r="J207" s="426">
        <f>J123+J124+J125+J127</f>
        <v>155802000</v>
      </c>
      <c r="K207" s="426">
        <f>K123+K124+K125+K127</f>
        <v>453371584.34999996</v>
      </c>
      <c r="L207" s="426">
        <f>L123+L124+L125+L127</f>
        <v>397652375.78000003</v>
      </c>
    </row>
    <row r="208" spans="1:12" ht="14.25" x14ac:dyDescent="0.2">
      <c r="A208" s="404" t="s">
        <v>14</v>
      </c>
      <c r="B208" s="399">
        <f>SUM(B150)</f>
        <v>5654000</v>
      </c>
      <c r="C208" s="399">
        <f>SUM(C150)</f>
        <v>4667261.3199999994</v>
      </c>
      <c r="D208" s="399">
        <f>SUM(D150)</f>
        <v>4329912.7299999995</v>
      </c>
      <c r="E208" s="405">
        <f t="shared" si="43"/>
        <v>92.772022673030875</v>
      </c>
      <c r="G208" s="276"/>
      <c r="H208" s="276"/>
      <c r="I208" s="281" t="s">
        <v>40</v>
      </c>
      <c r="J208" s="411">
        <f>J94+J95+J78+J79+J43+J44+J146</f>
        <v>134036000</v>
      </c>
      <c r="K208" s="411">
        <f>K94+K95+K78+K79+K43+K44+K146</f>
        <v>207713491.85000002</v>
      </c>
      <c r="L208" s="411">
        <f>L94+L95+L78+L79+L43+L44+L146</f>
        <v>176962817.56999999</v>
      </c>
    </row>
    <row r="209" spans="1:12" ht="14.25" x14ac:dyDescent="0.2">
      <c r="A209" s="404" t="s">
        <v>64</v>
      </c>
      <c r="B209" s="399">
        <f>B162</f>
        <v>3775000</v>
      </c>
      <c r="C209" s="399">
        <f>C162</f>
        <v>2542292.7999999998</v>
      </c>
      <c r="D209" s="399">
        <f>D162</f>
        <v>2461139.8199999998</v>
      </c>
      <c r="E209" s="405">
        <f t="shared" si="43"/>
        <v>96.807882239213356</v>
      </c>
      <c r="G209" s="276"/>
      <c r="H209" s="276"/>
      <c r="I209" s="290" t="s">
        <v>36</v>
      </c>
      <c r="J209" s="413">
        <f>J187+J171+J172+J161+J148+J147+J46+J45+J189+J199+J188</f>
        <v>19851000</v>
      </c>
      <c r="K209" s="413">
        <f>K187+K171+K172+K161+K148+K147+K46+K45+K189+K199+K188</f>
        <v>26946556.210000001</v>
      </c>
      <c r="L209" s="413">
        <f>L187+L171+L172+L161+L148+L147+L46+L45+L189+L199+L188</f>
        <v>24986991.030000001</v>
      </c>
    </row>
    <row r="210" spans="1:12" ht="14.25" x14ac:dyDescent="0.2">
      <c r="A210" s="404" t="s">
        <v>55</v>
      </c>
      <c r="B210" s="399">
        <f>B173</f>
        <v>274000</v>
      </c>
      <c r="C210" s="399">
        <f>C173</f>
        <v>1666170</v>
      </c>
      <c r="D210" s="399">
        <f>D173</f>
        <v>1666170</v>
      </c>
      <c r="E210" s="405">
        <f t="shared" si="43"/>
        <v>100</v>
      </c>
      <c r="G210" s="276"/>
      <c r="H210" s="276"/>
      <c r="I210" s="300" t="s">
        <v>34</v>
      </c>
      <c r="J210" s="414">
        <f>J149+J128+J47+J96+J80</f>
        <v>59782000</v>
      </c>
      <c r="K210" s="414">
        <f>K149+K128+K47+K96+K80</f>
        <v>651323419.19000006</v>
      </c>
      <c r="L210" s="414">
        <f>L149+L128+L47+L96+L80</f>
        <v>650851757.1400001</v>
      </c>
    </row>
    <row r="211" spans="1:12" ht="15" x14ac:dyDescent="0.25">
      <c r="A211" s="404" t="s">
        <v>265</v>
      </c>
      <c r="B211" s="399">
        <f>B190</f>
        <v>10164000</v>
      </c>
      <c r="C211" s="399">
        <f>C190</f>
        <v>13361566.449999999</v>
      </c>
      <c r="D211" s="399">
        <f>D190</f>
        <v>13310902.02</v>
      </c>
      <c r="E211" s="405">
        <f t="shared" si="43"/>
        <v>99.62081968315924</v>
      </c>
      <c r="G211" s="276"/>
      <c r="H211" s="276"/>
      <c r="I211" s="263"/>
      <c r="J211" s="286">
        <f>SUM(J207:J210)</f>
        <v>369471000</v>
      </c>
      <c r="K211" s="286">
        <f>SUM(K207:K210)</f>
        <v>1339355051.6000001</v>
      </c>
      <c r="L211" s="286">
        <f>SUM(L207:L210)</f>
        <v>1250453941.52</v>
      </c>
    </row>
    <row r="212" spans="1:12" ht="15" x14ac:dyDescent="0.25">
      <c r="A212" s="404" t="s">
        <v>404</v>
      </c>
      <c r="B212" s="399">
        <f>B200</f>
        <v>0</v>
      </c>
      <c r="C212" s="399">
        <f t="shared" ref="C212:D212" si="44">C200</f>
        <v>1200000</v>
      </c>
      <c r="D212" s="399">
        <f t="shared" si="44"/>
        <v>359370</v>
      </c>
      <c r="E212" s="405">
        <f t="shared" si="43"/>
        <v>29.947499999999998</v>
      </c>
      <c r="G212" s="276"/>
      <c r="H212" s="276"/>
      <c r="I212" s="263"/>
      <c r="J212" s="286"/>
      <c r="K212" s="286"/>
      <c r="L212" s="286"/>
    </row>
    <row r="213" spans="1:12" ht="15.75" thickBot="1" x14ac:dyDescent="0.25">
      <c r="A213" s="408" t="s">
        <v>3</v>
      </c>
      <c r="B213" s="409">
        <f>SUM(B204:B212)</f>
        <v>369471000</v>
      </c>
      <c r="C213" s="409">
        <f>SUM(C204:C212)</f>
        <v>1339355051.5999999</v>
      </c>
      <c r="D213" s="409">
        <f>SUM(D204:D212)</f>
        <v>1250453941.52</v>
      </c>
      <c r="E213" s="410">
        <f t="shared" si="43"/>
        <v>93.362394088572842</v>
      </c>
    </row>
    <row r="214" spans="1:12" ht="13.5" thickTop="1" x14ac:dyDescent="0.2">
      <c r="F214" s="256"/>
      <c r="G214" s="256"/>
      <c r="H214" s="412"/>
    </row>
    <row r="215" spans="1:12" x14ac:dyDescent="0.2">
      <c r="F215" s="256"/>
      <c r="G215" s="256"/>
      <c r="I215" s="263"/>
      <c r="J215" s="415"/>
      <c r="K215" s="415"/>
      <c r="L215" s="415"/>
    </row>
    <row r="216" spans="1:12" x14ac:dyDescent="0.2">
      <c r="F216" s="256"/>
      <c r="G216" s="256"/>
      <c r="I216" s="532" t="s">
        <v>269</v>
      </c>
      <c r="J216" s="430">
        <f>J172+J125+J95+J79+J46+J44+J188</f>
        <v>0</v>
      </c>
      <c r="K216" s="430">
        <f>K172+K125+K95+K79+K46+K44+K188</f>
        <v>324157787.12000006</v>
      </c>
      <c r="L216" s="430">
        <f>L172+L125+L95+L79+L46+L44+L188</f>
        <v>324073183.93000007</v>
      </c>
    </row>
    <row r="217" spans="1:12" x14ac:dyDescent="0.2">
      <c r="A217" s="416"/>
      <c r="B217" s="417"/>
      <c r="C217" s="417"/>
      <c r="D217" s="417"/>
      <c r="E217" s="382"/>
      <c r="F217" s="256"/>
      <c r="G217" s="256"/>
      <c r="I217" s="428" t="s">
        <v>270</v>
      </c>
      <c r="J217" s="536">
        <f>J124</f>
        <v>0</v>
      </c>
      <c r="K217" s="536">
        <f>K124</f>
        <v>9117005.9499999993</v>
      </c>
      <c r="L217" s="536">
        <f>L124</f>
        <v>9117005.9499999993</v>
      </c>
    </row>
    <row r="218" spans="1:12" x14ac:dyDescent="0.2">
      <c r="A218" s="418"/>
      <c r="B218" s="419"/>
      <c r="C218" s="419"/>
      <c r="D218" s="419"/>
      <c r="E218" s="382"/>
      <c r="F218" s="256"/>
      <c r="G218" s="256"/>
      <c r="I218" s="543" t="s">
        <v>271</v>
      </c>
      <c r="J218" s="415">
        <f>J187+J171+J161+J147+J123+J94+J78+J45+J43+J149+J128+J47-J48+J96-J97+J80+J199-J129-J130+J146</f>
        <v>369471000</v>
      </c>
      <c r="K218" s="415">
        <f t="shared" ref="K218:L218" si="45">K187+K171+K161+K147+K123+K94+K78+K45+K43+K149+K128+K47-K48+K96-K97+K80+K199-K129-K130+K146</f>
        <v>403926732.13999993</v>
      </c>
      <c r="L218" s="415">
        <f t="shared" si="45"/>
        <v>315434636.83999997</v>
      </c>
    </row>
    <row r="219" spans="1:12" x14ac:dyDescent="0.2">
      <c r="A219" s="418"/>
      <c r="B219" s="419"/>
      <c r="C219" s="419"/>
      <c r="D219" s="419"/>
      <c r="E219" s="382"/>
      <c r="F219" s="256"/>
      <c r="G219" s="256"/>
      <c r="I219" s="544" t="s">
        <v>152</v>
      </c>
      <c r="J219" s="545">
        <f>J189+J148+J127+J129+J130+J48+J97</f>
        <v>0</v>
      </c>
      <c r="K219" s="545">
        <f t="shared" ref="K219:L219" si="46">K189+K148+K127+K129+K130+K48+K97</f>
        <v>602153526.38999999</v>
      </c>
      <c r="L219" s="545">
        <f t="shared" si="46"/>
        <v>601829114.79999995</v>
      </c>
    </row>
    <row r="220" spans="1:12" ht="15" x14ac:dyDescent="0.25">
      <c r="A220" s="418"/>
      <c r="B220" s="419"/>
      <c r="C220" s="419"/>
      <c r="D220" s="419"/>
      <c r="E220" s="382"/>
      <c r="F220" s="260"/>
      <c r="G220" s="260"/>
      <c r="J220" s="286">
        <f>SUM(J216:J219)</f>
        <v>369471000</v>
      </c>
      <c r="K220" s="286">
        <f>SUM(K216:K219)</f>
        <v>1339355051.5999999</v>
      </c>
      <c r="L220" s="286">
        <f>SUM(L216:L219)</f>
        <v>1250453941.52</v>
      </c>
    </row>
    <row r="221" spans="1:12" x14ac:dyDescent="0.2">
      <c r="A221" s="420"/>
      <c r="B221" s="383"/>
      <c r="C221" s="383"/>
      <c r="D221" s="383"/>
      <c r="E221" s="382"/>
      <c r="F221" s="260"/>
      <c r="G221" s="260"/>
    </row>
    <row r="222" spans="1:12" x14ac:dyDescent="0.2">
      <c r="A222" s="420"/>
      <c r="B222" s="383"/>
      <c r="C222" s="383"/>
      <c r="D222" s="383"/>
      <c r="E222" s="382"/>
      <c r="F222" s="260"/>
      <c r="G222" s="260"/>
    </row>
    <row r="223" spans="1:12" x14ac:dyDescent="0.2">
      <c r="E223" s="260"/>
      <c r="F223" s="260"/>
      <c r="G223" s="260"/>
    </row>
    <row r="224" spans="1:12" x14ac:dyDescent="0.2">
      <c r="E224" s="260"/>
      <c r="F224" s="260"/>
      <c r="G224" s="260"/>
    </row>
    <row r="225" spans="1:12" x14ac:dyDescent="0.2">
      <c r="E225" s="260"/>
      <c r="F225" s="260"/>
      <c r="G225" s="260"/>
      <c r="J225" s="411"/>
      <c r="K225" s="411"/>
      <c r="L225" s="411"/>
    </row>
    <row r="226" spans="1:12" x14ac:dyDescent="0.2">
      <c r="E226" s="260"/>
      <c r="F226" s="260"/>
      <c r="G226" s="260"/>
      <c r="J226" s="411"/>
      <c r="K226" s="411"/>
      <c r="L226" s="411"/>
    </row>
    <row r="227" spans="1:12" s="262" customFormat="1" x14ac:dyDescent="0.2">
      <c r="A227" s="260"/>
      <c r="B227" s="260"/>
      <c r="C227" s="260"/>
      <c r="D227" s="260"/>
      <c r="E227" s="260"/>
      <c r="G227" s="263"/>
      <c r="H227" s="263"/>
      <c r="I227" s="260"/>
      <c r="J227" s="260"/>
      <c r="K227" s="260"/>
      <c r="L227" s="411"/>
    </row>
    <row r="228" spans="1:12" s="262" customFormat="1" x14ac:dyDescent="0.2">
      <c r="A228" s="260"/>
      <c r="B228" s="260"/>
      <c r="C228" s="260"/>
      <c r="D228" s="260"/>
      <c r="E228" s="260"/>
      <c r="G228" s="263"/>
      <c r="H228" s="263"/>
      <c r="I228" s="260"/>
      <c r="J228" s="260"/>
      <c r="K228" s="260"/>
      <c r="L228" s="260"/>
    </row>
    <row r="229" spans="1:12" s="262" customFormat="1" x14ac:dyDescent="0.2">
      <c r="A229" s="260"/>
      <c r="B229" s="260"/>
      <c r="C229" s="260"/>
      <c r="D229" s="260"/>
      <c r="E229" s="260"/>
      <c r="G229" s="263"/>
      <c r="H229" s="263"/>
      <c r="I229" s="260"/>
      <c r="J229" s="260"/>
      <c r="K229" s="260"/>
      <c r="L229" s="260"/>
    </row>
  </sheetData>
  <mergeCells count="27">
    <mergeCell ref="A9:A10"/>
    <mergeCell ref="A56:A57"/>
    <mergeCell ref="A88:A89"/>
    <mergeCell ref="A66:A67"/>
    <mergeCell ref="A58:A59"/>
    <mergeCell ref="A62:A63"/>
    <mergeCell ref="A64:A65"/>
    <mergeCell ref="A19:A20"/>
    <mergeCell ref="A13:A14"/>
    <mergeCell ref="A15:A16"/>
    <mergeCell ref="A21:A22"/>
    <mergeCell ref="A182:A183"/>
    <mergeCell ref="A78:A79"/>
    <mergeCell ref="A94:A96"/>
    <mergeCell ref="A146:A147"/>
    <mergeCell ref="A30:A31"/>
    <mergeCell ref="A169:A170"/>
    <mergeCell ref="A140:A141"/>
    <mergeCell ref="A105:A107"/>
    <mergeCell ref="A126:A128"/>
    <mergeCell ref="A119:A120"/>
    <mergeCell ref="A116:A118"/>
    <mergeCell ref="A113:A115"/>
    <mergeCell ref="A108:A109"/>
    <mergeCell ref="A110:A111"/>
    <mergeCell ref="A34:A35"/>
    <mergeCell ref="A180:A181"/>
  </mergeCells>
  <pageMargins left="0.78740157480314965" right="0.78740157480314965" top="0.98425196850393704" bottom="0.98425196850393704" header="0.51181102362204722" footer="0.51181102362204722"/>
  <pageSetup paperSize="9" scale="58" firstPageNumber="180" fitToHeight="5" orientation="portrait" useFirstPageNumber="1" r:id="rId1"/>
  <headerFooter alignWithMargins="0"/>
  <rowBreaks count="3" manualBreakCount="3">
    <brk id="50" max="4" man="1"/>
    <brk id="132" max="4" man="1"/>
    <brk id="218" max="4" man="1"/>
  </rowBreaks>
  <ignoredErrors>
    <ignoredError sqref="F70" numberStoredAsText="1"/>
    <ignoredError sqref="E128 E12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6"/>
  <sheetViews>
    <sheetView showGridLines="0" view="pageBreakPreview" zoomScaleNormal="100" zoomScaleSheetLayoutView="100" workbookViewId="0">
      <selection activeCell="A55" sqref="A55:D56"/>
    </sheetView>
  </sheetViews>
  <sheetFormatPr defaultColWidth="9.140625" defaultRowHeight="12.75" x14ac:dyDescent="0.2"/>
  <cols>
    <col min="1" max="1" width="77.7109375" style="5" customWidth="1"/>
    <col min="2" max="2" width="17.140625" style="5" customWidth="1"/>
    <col min="3" max="3" width="17.28515625" style="5" customWidth="1"/>
    <col min="4" max="4" width="17.28515625" style="5" bestFit="1" customWidth="1"/>
    <col min="5" max="5" width="7.5703125" style="37" customWidth="1"/>
    <col min="6" max="6" width="15.28515625" style="92" customWidth="1"/>
    <col min="7" max="7" width="19.140625" style="38" customWidth="1"/>
    <col min="8" max="8" width="9.85546875" style="38" customWidth="1"/>
    <col min="9" max="9" width="17.7109375" style="5" customWidth="1"/>
    <col min="10" max="10" width="18.28515625" style="5" customWidth="1"/>
    <col min="11" max="11" width="18.7109375" style="5" customWidth="1"/>
    <col min="12" max="12" width="17.5703125" style="5" customWidth="1"/>
    <col min="13" max="16384" width="9.140625" style="5"/>
  </cols>
  <sheetData>
    <row r="1" spans="1:8" s="32" customFormat="1" ht="18" x14ac:dyDescent="0.25">
      <c r="A1" s="29" t="s">
        <v>480</v>
      </c>
      <c r="B1" s="29"/>
      <c r="C1" s="29"/>
      <c r="D1" s="29"/>
      <c r="E1" s="29"/>
      <c r="F1" s="91"/>
      <c r="G1" s="30"/>
      <c r="H1" s="31"/>
    </row>
    <row r="2" spans="1:8" s="35" customFormat="1" ht="15.75" x14ac:dyDescent="0.25">
      <c r="A2" s="33" t="s">
        <v>102</v>
      </c>
      <c r="B2" s="34"/>
      <c r="C2" s="34"/>
      <c r="D2" s="34"/>
      <c r="E2" s="34"/>
      <c r="F2" s="91"/>
      <c r="G2" s="30"/>
      <c r="H2" s="31"/>
    </row>
    <row r="3" spans="1:8" ht="12" customHeight="1" x14ac:dyDescent="0.2"/>
    <row r="4" spans="1:8" ht="15" customHeight="1" x14ac:dyDescent="0.25">
      <c r="A4" s="36" t="s">
        <v>159</v>
      </c>
    </row>
    <row r="5" spans="1:8" ht="15" customHeight="1" thickBot="1" x14ac:dyDescent="0.3">
      <c r="A5" s="39" t="s">
        <v>156</v>
      </c>
      <c r="E5" s="40" t="s">
        <v>18</v>
      </c>
    </row>
    <row r="6" spans="1:8" ht="14.25" thickTop="1" thickBot="1" x14ac:dyDescent="0.25">
      <c r="A6" s="41" t="s">
        <v>5</v>
      </c>
      <c r="B6" s="42" t="s">
        <v>0</v>
      </c>
      <c r="C6" s="43" t="s">
        <v>1</v>
      </c>
      <c r="D6" s="44" t="s">
        <v>4</v>
      </c>
      <c r="E6" s="45" t="s">
        <v>6</v>
      </c>
    </row>
    <row r="7" spans="1:8" ht="15.75" thickTop="1" x14ac:dyDescent="0.2">
      <c r="A7" s="46" t="s">
        <v>31</v>
      </c>
      <c r="B7" s="68">
        <f>SUM(B8:B12)</f>
        <v>39653000</v>
      </c>
      <c r="C7" s="68">
        <f>SUM(C8:C12)</f>
        <v>45139039.440000005</v>
      </c>
      <c r="D7" s="68">
        <f>SUM(D8:D12)</f>
        <v>41644757.750000007</v>
      </c>
      <c r="E7" s="78">
        <f>D7/C7*100</f>
        <v>92.258847921111197</v>
      </c>
      <c r="F7" s="37"/>
    </row>
    <row r="8" spans="1:8" x14ac:dyDescent="0.2">
      <c r="A8" s="250" t="s">
        <v>87</v>
      </c>
      <c r="B8" s="439">
        <f>12748000</f>
        <v>12748000</v>
      </c>
      <c r="C8" s="251">
        <f>13505616.85</f>
        <v>13505616.85</v>
      </c>
      <c r="D8" s="251">
        <f>13505616.5</f>
        <v>13505616.5</v>
      </c>
      <c r="E8" s="232">
        <f t="shared" ref="E8:E12" si="0">D8/C8*100</f>
        <v>99.99999740848564</v>
      </c>
      <c r="F8" s="85">
        <v>101093</v>
      </c>
      <c r="G8" s="115" t="s">
        <v>32</v>
      </c>
    </row>
    <row r="9" spans="1:8" x14ac:dyDescent="0.2">
      <c r="A9" s="522" t="s">
        <v>289</v>
      </c>
      <c r="B9" s="523">
        <f>16127000</f>
        <v>16127000</v>
      </c>
      <c r="C9" s="524">
        <f>13603871.74</f>
        <v>13603871.74</v>
      </c>
      <c r="D9" s="524">
        <f>13603871.74</f>
        <v>13603871.74</v>
      </c>
      <c r="E9" s="521">
        <f t="shared" si="0"/>
        <v>100</v>
      </c>
      <c r="F9" s="85">
        <v>101329</v>
      </c>
      <c r="G9" s="115" t="s">
        <v>32</v>
      </c>
    </row>
    <row r="10" spans="1:8" x14ac:dyDescent="0.2">
      <c r="A10" s="522" t="s">
        <v>462</v>
      </c>
      <c r="B10" s="523">
        <v>0</v>
      </c>
      <c r="C10" s="524">
        <v>125704</v>
      </c>
      <c r="D10" s="524">
        <v>110082</v>
      </c>
      <c r="E10" s="521">
        <f t="shared" si="0"/>
        <v>87.57239228664163</v>
      </c>
      <c r="F10" s="85">
        <v>101458</v>
      </c>
      <c r="G10" s="115" t="s">
        <v>32</v>
      </c>
    </row>
    <row r="11" spans="1:8" x14ac:dyDescent="0.2">
      <c r="A11" s="654" t="s">
        <v>474</v>
      </c>
      <c r="B11" s="523">
        <f>6041000+4737000</f>
        <v>10778000</v>
      </c>
      <c r="C11" s="524">
        <f>5595000+8128000</f>
        <v>13723000</v>
      </c>
      <c r="D11" s="524">
        <f>5595000+4649340.66</f>
        <v>10244340.66</v>
      </c>
      <c r="E11" s="521">
        <f t="shared" si="0"/>
        <v>74.650882897325658</v>
      </c>
      <c r="F11" s="85">
        <v>101328</v>
      </c>
      <c r="G11" s="146" t="s">
        <v>353</v>
      </c>
    </row>
    <row r="12" spans="1:8" ht="13.5" thickBot="1" x14ac:dyDescent="0.25">
      <c r="A12" s="655"/>
      <c r="B12" s="440">
        <v>0</v>
      </c>
      <c r="C12" s="438">
        <v>4180846.85</v>
      </c>
      <c r="D12" s="438">
        <f>199087.95+3981758.9</f>
        <v>4180846.85</v>
      </c>
      <c r="E12" s="237">
        <f t="shared" si="0"/>
        <v>100</v>
      </c>
      <c r="F12" s="85">
        <v>101328</v>
      </c>
      <c r="G12" s="429" t="s">
        <v>261</v>
      </c>
    </row>
    <row r="13" spans="1:8" ht="13.5" thickTop="1" x14ac:dyDescent="0.2">
      <c r="A13" s="155"/>
      <c r="B13" s="73"/>
      <c r="C13" s="69"/>
      <c r="D13" s="69"/>
      <c r="E13" s="52"/>
      <c r="F13" s="85"/>
      <c r="G13" s="146"/>
    </row>
    <row r="14" spans="1:8" s="7" customFormat="1" x14ac:dyDescent="0.2">
      <c r="E14" s="52"/>
      <c r="F14" s="82"/>
      <c r="G14" s="56"/>
      <c r="H14" s="56"/>
    </row>
    <row r="15" spans="1:8" ht="18.75" thickBot="1" x14ac:dyDescent="0.25">
      <c r="A15" s="313" t="s">
        <v>23</v>
      </c>
      <c r="B15" s="423">
        <f>B7</f>
        <v>39653000</v>
      </c>
      <c r="C15" s="423">
        <f>C7</f>
        <v>45139039.440000005</v>
      </c>
      <c r="D15" s="423">
        <f>D7</f>
        <v>41644757.750000007</v>
      </c>
      <c r="E15" s="315">
        <f>D15/C15*100</f>
        <v>92.258847921111197</v>
      </c>
      <c r="F15" s="90"/>
      <c r="G15" s="56"/>
    </row>
    <row r="16" spans="1:8" ht="13.5" thickTop="1" x14ac:dyDescent="0.2">
      <c r="B16" s="4"/>
      <c r="F16" s="100"/>
      <c r="G16" s="56"/>
    </row>
    <row r="17" spans="1:11" x14ac:dyDescent="0.2">
      <c r="B17" s="4"/>
      <c r="F17" s="100"/>
      <c r="G17" s="56"/>
      <c r="H17" s="115" t="s">
        <v>32</v>
      </c>
      <c r="I17" s="228">
        <f>B8+B9+B10</f>
        <v>28875000</v>
      </c>
      <c r="J17" s="228">
        <f>C8+C9+C10</f>
        <v>27235192.59</v>
      </c>
      <c r="K17" s="228">
        <f>D8+D9+D10</f>
        <v>27219570.240000002</v>
      </c>
    </row>
    <row r="18" spans="1:11" ht="14.25" x14ac:dyDescent="0.2">
      <c r="A18" s="70" t="s">
        <v>12</v>
      </c>
      <c r="B18" s="70"/>
      <c r="C18" s="70"/>
      <c r="D18" s="70"/>
      <c r="E18" s="71"/>
      <c r="F18" s="101"/>
      <c r="G18" s="56"/>
      <c r="H18" s="147" t="s">
        <v>40</v>
      </c>
      <c r="I18" s="167">
        <f t="shared" ref="I18:K19" si="1">B11</f>
        <v>10778000</v>
      </c>
      <c r="J18" s="167">
        <f t="shared" si="1"/>
        <v>13723000</v>
      </c>
      <c r="K18" s="167">
        <f t="shared" si="1"/>
        <v>10244340.66</v>
      </c>
    </row>
    <row r="19" spans="1:11" ht="14.25" x14ac:dyDescent="0.2">
      <c r="A19" s="72" t="s">
        <v>97</v>
      </c>
      <c r="B19" s="73">
        <f>B15</f>
        <v>39653000</v>
      </c>
      <c r="C19" s="73">
        <f t="shared" ref="C19:D19" si="2">C15</f>
        <v>45139039.440000005</v>
      </c>
      <c r="D19" s="73">
        <f t="shared" si="2"/>
        <v>41644757.750000007</v>
      </c>
      <c r="E19" s="74">
        <f t="shared" ref="E19" si="3">D19/C19*100</f>
        <v>92.258847921111197</v>
      </c>
      <c r="F19" s="102"/>
      <c r="G19" s="56"/>
      <c r="H19" s="147"/>
      <c r="I19" s="537">
        <f t="shared" si="1"/>
        <v>0</v>
      </c>
      <c r="J19" s="537">
        <f t="shared" si="1"/>
        <v>4180846.85</v>
      </c>
      <c r="K19" s="537">
        <f t="shared" si="1"/>
        <v>4180846.85</v>
      </c>
    </row>
    <row r="20" spans="1:11" ht="16.5" thickBot="1" x14ac:dyDescent="0.3">
      <c r="A20" s="75" t="s">
        <v>3</v>
      </c>
      <c r="B20" s="76">
        <f>SUM(B19:B19)</f>
        <v>39653000</v>
      </c>
      <c r="C20" s="76">
        <f>SUM(C19:C19)</f>
        <v>45139039.440000005</v>
      </c>
      <c r="D20" s="76">
        <f>SUM(D19:D19)</f>
        <v>41644757.750000007</v>
      </c>
      <c r="E20" s="77">
        <f>D20/C20*100</f>
        <v>92.258847921111197</v>
      </c>
      <c r="H20" s="148"/>
      <c r="I20" s="123">
        <f>SUM(I17:I19)</f>
        <v>39653000</v>
      </c>
      <c r="J20" s="123">
        <f t="shared" ref="J20:K20" si="4">SUM(J17:J19)</f>
        <v>45139039.440000005</v>
      </c>
      <c r="K20" s="123">
        <f t="shared" si="4"/>
        <v>41644757.750000007</v>
      </c>
    </row>
    <row r="21" spans="1:11" ht="13.5" thickTop="1" x14ac:dyDescent="0.2">
      <c r="F21" s="1"/>
      <c r="G21" s="1"/>
      <c r="I21" s="171"/>
      <c r="J21" s="171"/>
      <c r="K21" s="171"/>
    </row>
    <row r="22" spans="1:11" x14ac:dyDescent="0.2">
      <c r="B22" s="579" t="s">
        <v>386</v>
      </c>
      <c r="F22" s="1"/>
      <c r="G22" s="1"/>
      <c r="I22" s="171"/>
      <c r="J22" s="171"/>
      <c r="K22" s="171"/>
    </row>
    <row r="23" spans="1:11" x14ac:dyDescent="0.2">
      <c r="B23" s="195">
        <f>B7</f>
        <v>39653000</v>
      </c>
      <c r="F23" s="1"/>
      <c r="G23" s="1"/>
      <c r="H23" s="108"/>
      <c r="I23" s="171"/>
      <c r="J23" s="171"/>
      <c r="K23" s="171"/>
    </row>
    <row r="24" spans="1:11" x14ac:dyDescent="0.2">
      <c r="A24" s="122"/>
      <c r="B24" s="172">
        <f>B7-B23</f>
        <v>0</v>
      </c>
      <c r="C24" s="172"/>
      <c r="D24" s="172"/>
      <c r="E24" s="2"/>
      <c r="F24" s="1"/>
      <c r="G24" s="1"/>
      <c r="I24" s="4"/>
      <c r="J24" s="4"/>
      <c r="K24" s="4"/>
    </row>
    <row r="25" spans="1:11" x14ac:dyDescent="0.2">
      <c r="A25" s="173"/>
      <c r="B25" s="174"/>
      <c r="C25" s="174"/>
      <c r="D25" s="174"/>
      <c r="E25" s="2"/>
      <c r="F25" s="1"/>
      <c r="G25" s="1"/>
    </row>
    <row r="26" spans="1:11" x14ac:dyDescent="0.2">
      <c r="A26" s="173"/>
      <c r="B26" s="174"/>
      <c r="C26" s="174"/>
      <c r="D26" s="174"/>
      <c r="E26" s="2"/>
      <c r="F26" s="1"/>
      <c r="G26" s="1"/>
    </row>
    <row r="27" spans="1:11" x14ac:dyDescent="0.2">
      <c r="A27" s="173"/>
      <c r="B27" s="174"/>
      <c r="C27" s="174"/>
      <c r="D27" s="174"/>
      <c r="E27" s="2"/>
      <c r="F27" s="5"/>
      <c r="G27" s="5"/>
    </row>
    <row r="28" spans="1:11" x14ac:dyDescent="0.2">
      <c r="A28" s="121"/>
      <c r="B28" s="107"/>
      <c r="C28" s="107"/>
      <c r="D28" s="107"/>
      <c r="E28" s="2"/>
      <c r="F28" s="5"/>
      <c r="G28" s="5"/>
    </row>
    <row r="29" spans="1:11" x14ac:dyDescent="0.2">
      <c r="A29" s="121"/>
      <c r="B29" s="107"/>
      <c r="C29" s="107"/>
      <c r="D29" s="107"/>
      <c r="E29" s="2"/>
      <c r="F29" s="5"/>
      <c r="G29" s="5"/>
    </row>
    <row r="30" spans="1:11" x14ac:dyDescent="0.2">
      <c r="E30" s="5"/>
      <c r="F30" s="5"/>
      <c r="G30" s="5"/>
    </row>
    <row r="31" spans="1:11" x14ac:dyDescent="0.2">
      <c r="E31" s="5"/>
      <c r="F31" s="5"/>
      <c r="G31" s="5"/>
      <c r="K31" s="4"/>
    </row>
    <row r="32" spans="1:11" x14ac:dyDescent="0.2">
      <c r="E32" s="5"/>
      <c r="F32" s="5"/>
      <c r="G32" s="5"/>
    </row>
    <row r="33" spans="5:7" x14ac:dyDescent="0.2">
      <c r="E33" s="5"/>
      <c r="F33" s="5"/>
      <c r="G33" s="5"/>
    </row>
    <row r="34" spans="5:7" x14ac:dyDescent="0.2">
      <c r="E34" s="5"/>
    </row>
    <row r="35" spans="5:7" x14ac:dyDescent="0.2">
      <c r="E35" s="5"/>
    </row>
    <row r="36" spans="5:7" x14ac:dyDescent="0.2">
      <c r="E36" s="5"/>
    </row>
  </sheetData>
  <mergeCells count="1">
    <mergeCell ref="A11:A12"/>
  </mergeCells>
  <pageMargins left="0.78740157480314965" right="0.78740157480314965" top="0.98425196850393704" bottom="0.98425196850393704" header="0.51181102362204722" footer="0.51181102362204722"/>
  <pageSetup paperSize="9" scale="63" firstPageNumber="183" fitToHeight="5" orientation="portrait" useFirstPageNumber="1" r:id="rId1"/>
  <headerFooter alignWithMargins="0"/>
  <rowBreaks count="1" manualBreakCount="1">
    <brk id="25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Rekapitulace</vt:lpstr>
      <vt:lpstr>rekapitulace PO</vt:lpstr>
      <vt:lpstr>8a) OK 2020</vt:lpstr>
      <vt:lpstr>8b) Projekty spolufinancované</vt:lpstr>
      <vt:lpstr>8c) SMN</vt:lpstr>
      <vt:lpstr>'8a) OK 2020'!Oblast_tisku</vt:lpstr>
      <vt:lpstr>'8b) Projekty spolufinancované'!Oblast_tisku</vt:lpstr>
      <vt:lpstr>'8c) SMN'!Oblast_tisku</vt:lpstr>
      <vt:lpstr>Rekapitulace!Oblast_tisku</vt:lpstr>
      <vt:lpstr>'rekapitulace PO'!Oblast_tisku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Foret Oldřich</cp:lastModifiedBy>
  <cp:lastPrinted>2021-05-27T06:03:32Z</cp:lastPrinted>
  <dcterms:created xsi:type="dcterms:W3CDTF">2010-08-09T11:30:13Z</dcterms:created>
  <dcterms:modified xsi:type="dcterms:W3CDTF">2021-06-02T08:21:35Z</dcterms:modified>
</cp:coreProperties>
</file>