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0\ZOK 21.6.2021\"/>
    </mc:Choice>
  </mc:AlternateContent>
  <bookViews>
    <workbookView xWindow="0" yWindow="0" windowWidth="28800" windowHeight="12300"/>
  </bookViews>
  <sheets>
    <sheet name="Přehled úvěrů" sheetId="1" r:id="rId1"/>
  </sheets>
  <definedNames>
    <definedName name="_xlnm.Print_Area" localSheetId="0">'Přehled úvěrů'!$A$1:$D$125</definedName>
  </definedNames>
  <calcPr calcId="162913"/>
</workbook>
</file>

<file path=xl/calcChain.xml><?xml version="1.0" encoding="utf-8"?>
<calcChain xmlns="http://schemas.openxmlformats.org/spreadsheetml/2006/main">
  <c r="C123" i="1" l="1"/>
  <c r="C69" i="1" l="1"/>
  <c r="C59" i="1"/>
  <c r="C41" i="1"/>
  <c r="C21" i="1"/>
  <c r="B125" i="1" l="1"/>
  <c r="B123" i="1"/>
  <c r="C22" i="1"/>
  <c r="B22" i="1"/>
  <c r="C85" i="1" l="1"/>
  <c r="D85" i="1" s="1"/>
  <c r="B85" i="1"/>
  <c r="B103" i="1" l="1"/>
  <c r="C103" i="1"/>
  <c r="D102" i="1"/>
  <c r="D103" i="1" l="1"/>
  <c r="B95" i="1" l="1"/>
  <c r="C70" i="1"/>
  <c r="B70" i="1"/>
  <c r="B42" i="1"/>
  <c r="B122" i="1" l="1"/>
  <c r="E85" i="1"/>
  <c r="B109" i="1" l="1"/>
  <c r="C93" i="1" l="1"/>
  <c r="C95" i="1" s="1"/>
  <c r="C58" i="1" l="1"/>
  <c r="C40" i="1"/>
  <c r="C20" i="1"/>
  <c r="C122" i="1" l="1"/>
  <c r="B121" i="1"/>
  <c r="B120" i="1" l="1"/>
  <c r="B119" i="1"/>
  <c r="C119" i="1"/>
  <c r="C117" i="1"/>
  <c r="B118" i="1"/>
  <c r="B117" i="1"/>
  <c r="B116" i="1"/>
  <c r="D67" i="1"/>
  <c r="D68" i="1" s="1"/>
  <c r="D69" i="1" s="1"/>
  <c r="C121" i="1" l="1"/>
  <c r="D92" i="1"/>
  <c r="D93" i="1" s="1"/>
  <c r="D94" i="1" s="1"/>
  <c r="D81" i="1"/>
  <c r="D82" i="1" s="1"/>
  <c r="D83" i="1" s="1"/>
  <c r="D84" i="1" s="1"/>
  <c r="E95" i="1" l="1"/>
  <c r="D95" i="1"/>
  <c r="D70" i="1" l="1"/>
  <c r="C38" i="1" l="1"/>
  <c r="C18" i="1"/>
  <c r="C120" i="1" s="1"/>
  <c r="E70" i="1"/>
  <c r="C115" i="1"/>
  <c r="C113" i="1"/>
  <c r="C112" i="1"/>
  <c r="C111" i="1"/>
  <c r="B110" i="1"/>
  <c r="B111" i="1"/>
  <c r="B112" i="1"/>
  <c r="B113" i="1"/>
  <c r="B115" i="1"/>
  <c r="C110" i="1"/>
  <c r="C109" i="1"/>
  <c r="C108" i="1"/>
  <c r="B108" i="1"/>
  <c r="C54" i="1"/>
  <c r="C52" i="1"/>
  <c r="C60" i="1" s="1"/>
  <c r="B50" i="1"/>
  <c r="B60" i="1" s="1"/>
  <c r="D49" i="1"/>
  <c r="C36" i="1"/>
  <c r="C42" i="1" s="1"/>
  <c r="D29" i="1"/>
  <c r="D30" i="1" s="1"/>
  <c r="D31" i="1" s="1"/>
  <c r="D32" i="1" s="1"/>
  <c r="D33" i="1" s="1"/>
  <c r="D34" i="1" s="1"/>
  <c r="D35" i="1" s="1"/>
  <c r="C16" i="1"/>
  <c r="C118" i="1" s="1"/>
  <c r="C12" i="1"/>
  <c r="D7" i="1"/>
  <c r="D109" i="1" s="1"/>
  <c r="C125" i="1" l="1"/>
  <c r="E60" i="1"/>
  <c r="C114" i="1"/>
  <c r="D42" i="1"/>
  <c r="E42" i="1"/>
  <c r="C116" i="1"/>
  <c r="D60" i="1"/>
  <c r="D8" i="1"/>
  <c r="D9" i="1" s="1"/>
  <c r="D10" i="1" s="1"/>
  <c r="D36" i="1"/>
  <c r="D37" i="1" s="1"/>
  <c r="D38" i="1" s="1"/>
  <c r="D39" i="1" s="1"/>
  <c r="D40" i="1" s="1"/>
  <c r="D41" i="1" s="1"/>
  <c r="D50" i="1"/>
  <c r="D51" i="1" s="1"/>
  <c r="D52" i="1" s="1"/>
  <c r="D53" i="1" s="1"/>
  <c r="D54" i="1" s="1"/>
  <c r="D55" i="1" s="1"/>
  <c r="D56" i="1" s="1"/>
  <c r="D57" i="1" s="1"/>
  <c r="D58" i="1" s="1"/>
  <c r="D59" i="1" s="1"/>
  <c r="D108" i="1"/>
  <c r="B114" i="1"/>
  <c r="D22" i="1" l="1"/>
  <c r="D125" i="1" s="1"/>
  <c r="E22" i="1"/>
  <c r="D111" i="1"/>
  <c r="D110" i="1"/>
  <c r="D11" i="1"/>
  <c r="D112" i="1"/>
  <c r="E29" i="1" l="1"/>
  <c r="D113" i="1"/>
  <c r="D12" i="1"/>
  <c r="D114" i="1" l="1"/>
  <c r="D13" i="1"/>
  <c r="D14" i="1" l="1"/>
  <c r="D116" i="1" s="1"/>
  <c r="D115" i="1"/>
  <c r="D15" i="1" l="1"/>
  <c r="D117" i="1" s="1"/>
  <c r="D16" i="1" l="1"/>
  <c r="D118" i="1" s="1"/>
  <c r="D17" i="1" l="1"/>
  <c r="D119" i="1" s="1"/>
  <c r="D18" i="1" l="1"/>
  <c r="D120" i="1" l="1"/>
  <c r="D19" i="1"/>
  <c r="D20" i="1" s="1"/>
  <c r="D121" i="1"/>
  <c r="D122" i="1" l="1"/>
  <c r="D21" i="1"/>
  <c r="D123" i="1" s="1"/>
</calcChain>
</file>

<file path=xl/sharedStrings.xml><?xml version="1.0" encoding="utf-8"?>
<sst xmlns="http://schemas.openxmlformats.org/spreadsheetml/2006/main" count="78" uniqueCount="26">
  <si>
    <t>Rok</t>
  </si>
  <si>
    <t>čerpání</t>
  </si>
  <si>
    <t>splátky</t>
  </si>
  <si>
    <t>zůstatek ke splácení</t>
  </si>
  <si>
    <t>Rekapitulace</t>
  </si>
  <si>
    <t>ve výši</t>
  </si>
  <si>
    <t>2/ Smlouva o poskytnutí financí</t>
  </si>
  <si>
    <t>uzavřená s Evropskou investiční bankou</t>
  </si>
  <si>
    <t>uzavřená s Komerční bankou, a.s.</t>
  </si>
  <si>
    <t>v Kč</t>
  </si>
  <si>
    <t>Schváleno usnesením Zastupitelstva Olomouckého kraje UZ/7/5/2005 z 12.12.2005</t>
  </si>
  <si>
    <t>Schváleno usnesením Zastupitelstva Olomouckého kraje UZ/18/4/2007 z 22.6.2007</t>
  </si>
  <si>
    <t>1/ Smlouva o poskytnutí financí</t>
  </si>
  <si>
    <t>3/ Smlouva o úvěru</t>
  </si>
  <si>
    <t>4/ Smlouva o úvěru</t>
  </si>
  <si>
    <t>Schváleno usnesením Zastupitelstva Olomouckého kraje UZ/15/19/2010 ze dne 28.6.2010</t>
  </si>
  <si>
    <t>5/ Smlouva o revolvingovém úvěru</t>
  </si>
  <si>
    <t>Schváleno usnesením Zastupitelstva Olomouckého kraje UZ/4/62/2017 ze dne 24.4.2017</t>
  </si>
  <si>
    <t>uzavřená s PPF bankou, a.s.</t>
  </si>
  <si>
    <t>Schváleno usnesením Zastupitelstva Olomouckého kraje UZ/7/18/2017 ze dne 23.11.2017</t>
  </si>
  <si>
    <t>6/ Smlouva o poskytování bankovních produktů</t>
  </si>
  <si>
    <t>7/ Smlouva o revolvingovém úvěru</t>
  </si>
  <si>
    <t>Schváleno usnesením Zastupitelstva Olomouckého kraje UZ/22/15/2020 ze dne 21.9.2020</t>
  </si>
  <si>
    <t>Stav k 31. 12. 2020</t>
  </si>
  <si>
    <t>Celkem</t>
  </si>
  <si>
    <t>4. Přehled nesplacených úvěrů a půjček Olomouckého kraje k 31. 12.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</si>
</sst>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13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wrapText="1"/>
    </xf>
    <xf numFmtId="44" fontId="2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3" fontId="0" fillId="0" borderId="0" xfId="0" applyNumberFormat="1" applyFill="1"/>
    <xf numFmtId="0" fontId="0" fillId="0" borderId="0" xfId="0" applyFill="1"/>
    <xf numFmtId="4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4" fontId="8" fillId="0" borderId="0" xfId="0" applyNumberFormat="1" applyFont="1" applyFill="1" applyAlignment="1">
      <alignment horizontal="right"/>
    </xf>
    <xf numFmtId="4" fontId="8" fillId="0" borderId="7" xfId="0" applyNumberFormat="1" applyFont="1" applyFill="1" applyBorder="1" applyAlignment="1">
      <alignment horizontal="right"/>
    </xf>
    <xf numFmtId="4" fontId="8" fillId="0" borderId="8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/>
    </xf>
    <xf numFmtId="4" fontId="8" fillId="0" borderId="10" xfId="0" applyNumberFormat="1" applyFont="1" applyFill="1" applyBorder="1" applyAlignment="1">
      <alignment horizontal="right"/>
    </xf>
    <xf numFmtId="4" fontId="8" fillId="0" borderId="11" xfId="0" applyNumberFormat="1" applyFont="1" applyFill="1" applyBorder="1" applyAlignment="1">
      <alignment horizontal="right"/>
    </xf>
    <xf numFmtId="0" fontId="7" fillId="0" borderId="9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4" fontId="7" fillId="0" borderId="1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4" fontId="0" fillId="0" borderId="0" xfId="0" applyNumberFormat="1" applyFill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3" fontId="11" fillId="0" borderId="0" xfId="0" applyNumberFormat="1" applyFont="1" applyFill="1"/>
    <xf numFmtId="0" fontId="11" fillId="0" borderId="0" xfId="0" applyFont="1" applyFill="1"/>
    <xf numFmtId="4" fontId="11" fillId="0" borderId="0" xfId="0" applyNumberFormat="1" applyFont="1" applyFill="1"/>
    <xf numFmtId="0" fontId="0" fillId="0" borderId="14" xfId="0" applyFill="1" applyBorder="1" applyAlignment="1">
      <alignment horizontal="center"/>
    </xf>
    <xf numFmtId="4" fontId="12" fillId="0" borderId="0" xfId="0" applyNumberFormat="1" applyFont="1" applyFill="1"/>
    <xf numFmtId="0" fontId="12" fillId="0" borderId="0" xfId="0" applyFont="1" applyFill="1" applyAlignment="1">
      <alignment horizontal="right"/>
    </xf>
    <xf numFmtId="4" fontId="12" fillId="0" borderId="0" xfId="0" applyNumberFormat="1" applyFont="1" applyFill="1" applyAlignment="1">
      <alignment horizontal="right"/>
    </xf>
    <xf numFmtId="8" fontId="2" fillId="0" borderId="0" xfId="0" applyNumberFormat="1" applyFont="1" applyFill="1" applyAlignment="1">
      <alignment horizontal="left"/>
    </xf>
    <xf numFmtId="44" fontId="0" fillId="0" borderId="0" xfId="0" applyNumberForma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4" fontId="11" fillId="0" borderId="0" xfId="0" applyNumberFormat="1" applyFont="1" applyFill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4" fontId="0" fillId="0" borderId="14" xfId="0" applyNumberFormat="1" applyFill="1" applyBorder="1" applyAlignment="1">
      <alignment horizontal="center"/>
    </xf>
    <xf numFmtId="4" fontId="6" fillId="0" borderId="0" xfId="0" applyNumberFormat="1" applyFont="1" applyFill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4" fontId="8" fillId="0" borderId="16" xfId="0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right"/>
    </xf>
    <xf numFmtId="4" fontId="8" fillId="0" borderId="5" xfId="0" applyNumberFormat="1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horizontal="right"/>
    </xf>
    <xf numFmtId="0" fontId="3" fillId="0" borderId="13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showGridLines="0" tabSelected="1" view="pageBreakPreview" zoomScaleNormal="100" zoomScaleSheetLayoutView="100" workbookViewId="0">
      <selection activeCell="F98" sqref="F98"/>
    </sheetView>
  </sheetViews>
  <sheetFormatPr defaultColWidth="9.140625" defaultRowHeight="12.75" x14ac:dyDescent="0.2"/>
  <cols>
    <col min="1" max="1" width="29.85546875" style="9" customWidth="1"/>
    <col min="2" max="2" width="29.28515625" style="9" customWidth="1"/>
    <col min="3" max="3" width="25.5703125" style="9" customWidth="1"/>
    <col min="4" max="4" width="31.7109375" style="9" customWidth="1"/>
    <col min="5" max="5" width="33.5703125" style="9" customWidth="1"/>
    <col min="6" max="6" width="22.28515625" style="6" customWidth="1"/>
    <col min="7" max="7" width="16" style="7" customWidth="1"/>
    <col min="8" max="8" width="16" style="8" customWidth="1"/>
    <col min="9" max="9" width="6.140625" style="7" customWidth="1"/>
    <col min="10" max="10" width="11.28515625" style="7" customWidth="1"/>
    <col min="11" max="16384" width="9.140625" style="7"/>
  </cols>
  <sheetData>
    <row r="1" spans="1:5" ht="21" customHeight="1" x14ac:dyDescent="0.25">
      <c r="A1" s="67" t="s">
        <v>25</v>
      </c>
      <c r="B1" s="67"/>
      <c r="C1" s="67"/>
      <c r="D1" s="67"/>
      <c r="E1" s="5"/>
    </row>
    <row r="3" spans="1:5" ht="15.75" x14ac:dyDescent="0.25">
      <c r="A3" s="2" t="s">
        <v>12</v>
      </c>
      <c r="C3" s="10" t="s">
        <v>5</v>
      </c>
      <c r="D3" s="4">
        <v>900000000</v>
      </c>
    </row>
    <row r="4" spans="1:5" ht="15" x14ac:dyDescent="0.2">
      <c r="A4" s="11" t="s">
        <v>7</v>
      </c>
      <c r="B4" s="12"/>
    </row>
    <row r="5" spans="1:5" ht="13.5" thickBot="1" x14ac:dyDescent="0.25">
      <c r="A5" s="1" t="s">
        <v>10</v>
      </c>
      <c r="D5" s="13" t="s">
        <v>9</v>
      </c>
    </row>
    <row r="6" spans="1:5" ht="16.5" thickTop="1" thickBot="1" x14ac:dyDescent="0.25">
      <c r="A6" s="14" t="s">
        <v>0</v>
      </c>
      <c r="B6" s="15" t="s">
        <v>1</v>
      </c>
      <c r="C6" s="16" t="s">
        <v>2</v>
      </c>
      <c r="D6" s="17" t="s">
        <v>3</v>
      </c>
    </row>
    <row r="7" spans="1:5" ht="15" thickTop="1" x14ac:dyDescent="0.2">
      <c r="A7" s="18">
        <v>2006</v>
      </c>
      <c r="B7" s="19">
        <v>289000000</v>
      </c>
      <c r="C7" s="20">
        <v>0</v>
      </c>
      <c r="D7" s="21">
        <f>+B7-C7</f>
        <v>289000000</v>
      </c>
    </row>
    <row r="8" spans="1:5" ht="14.25" x14ac:dyDescent="0.2">
      <c r="A8" s="18">
        <v>2007</v>
      </c>
      <c r="B8" s="19">
        <v>379500000</v>
      </c>
      <c r="C8" s="20">
        <v>0</v>
      </c>
      <c r="D8" s="21">
        <f t="shared" ref="D8:D13" si="0">D7+B8-C8</f>
        <v>668500000</v>
      </c>
    </row>
    <row r="9" spans="1:5" ht="14.25" x14ac:dyDescent="0.2">
      <c r="A9" s="18">
        <v>2008</v>
      </c>
      <c r="B9" s="33">
        <v>231500000</v>
      </c>
      <c r="C9" s="20">
        <v>14097560.98</v>
      </c>
      <c r="D9" s="21">
        <f t="shared" si="0"/>
        <v>885902439.01999998</v>
      </c>
    </row>
    <row r="10" spans="1:5" ht="14.25" x14ac:dyDescent="0.2">
      <c r="A10" s="18">
        <v>2009</v>
      </c>
      <c r="B10" s="20">
        <v>0</v>
      </c>
      <c r="C10" s="20">
        <v>14097560.98</v>
      </c>
      <c r="D10" s="21">
        <f t="shared" si="0"/>
        <v>871804878.03999996</v>
      </c>
      <c r="E10" s="32"/>
    </row>
    <row r="11" spans="1:5" ht="14.25" x14ac:dyDescent="0.2">
      <c r="A11" s="18">
        <v>2010</v>
      </c>
      <c r="B11" s="33">
        <v>0</v>
      </c>
      <c r="C11" s="20">
        <v>14097560.98</v>
      </c>
      <c r="D11" s="21">
        <f t="shared" si="0"/>
        <v>857707317.05999994</v>
      </c>
      <c r="E11" s="32"/>
    </row>
    <row r="12" spans="1:5" ht="14.25" x14ac:dyDescent="0.2">
      <c r="A12" s="18">
        <v>2011</v>
      </c>
      <c r="B12" s="20">
        <v>0</v>
      </c>
      <c r="C12" s="20">
        <f>32609756.1</f>
        <v>32609756.100000001</v>
      </c>
      <c r="D12" s="21">
        <f t="shared" si="0"/>
        <v>825097560.95999992</v>
      </c>
      <c r="E12" s="32"/>
    </row>
    <row r="13" spans="1:5" ht="14.25" x14ac:dyDescent="0.2">
      <c r="A13" s="18">
        <v>2012</v>
      </c>
      <c r="B13" s="20">
        <v>0</v>
      </c>
      <c r="C13" s="20">
        <v>43633565.619999997</v>
      </c>
      <c r="D13" s="21">
        <f t="shared" si="0"/>
        <v>781463995.33999991</v>
      </c>
      <c r="E13" s="32"/>
    </row>
    <row r="14" spans="1:5" ht="14.25" x14ac:dyDescent="0.2">
      <c r="A14" s="18">
        <v>2013</v>
      </c>
      <c r="B14" s="20">
        <v>0</v>
      </c>
      <c r="C14" s="20">
        <v>43633565.619999997</v>
      </c>
      <c r="D14" s="21">
        <f t="shared" ref="D14:D18" si="1">D13+B14-C14</f>
        <v>737830429.71999991</v>
      </c>
      <c r="E14" s="32"/>
    </row>
    <row r="15" spans="1:5" ht="14.25" x14ac:dyDescent="0.2">
      <c r="A15" s="18">
        <v>2014</v>
      </c>
      <c r="B15" s="20">
        <v>0</v>
      </c>
      <c r="C15" s="20">
        <v>43633565.619999997</v>
      </c>
      <c r="D15" s="21">
        <f t="shared" si="1"/>
        <v>694196864.0999999</v>
      </c>
      <c r="E15" s="32"/>
    </row>
    <row r="16" spans="1:5" ht="14.25" x14ac:dyDescent="0.2">
      <c r="A16" s="18">
        <v>2015</v>
      </c>
      <c r="B16" s="20">
        <v>0</v>
      </c>
      <c r="C16" s="20">
        <f>21816782.81*2</f>
        <v>43633565.619999997</v>
      </c>
      <c r="D16" s="21">
        <f t="shared" si="1"/>
        <v>650563298.4799999</v>
      </c>
      <c r="E16" s="32"/>
    </row>
    <row r="17" spans="1:6" ht="14.25" x14ac:dyDescent="0.2">
      <c r="A17" s="18">
        <v>2016</v>
      </c>
      <c r="B17" s="20">
        <v>0</v>
      </c>
      <c r="C17" s="20">
        <v>43633565.619999997</v>
      </c>
      <c r="D17" s="21">
        <f t="shared" si="1"/>
        <v>606929732.8599999</v>
      </c>
      <c r="E17" s="32"/>
    </row>
    <row r="18" spans="1:6" ht="14.25" x14ac:dyDescent="0.2">
      <c r="A18" s="18">
        <v>2017</v>
      </c>
      <c r="B18" s="20">
        <v>0</v>
      </c>
      <c r="C18" s="20">
        <f>C17</f>
        <v>43633565.619999997</v>
      </c>
      <c r="D18" s="21">
        <f t="shared" si="1"/>
        <v>563296167.23999989</v>
      </c>
      <c r="E18" s="32"/>
    </row>
    <row r="19" spans="1:6" ht="14.25" x14ac:dyDescent="0.2">
      <c r="A19" s="18">
        <v>2018</v>
      </c>
      <c r="B19" s="33">
        <v>0</v>
      </c>
      <c r="C19" s="20">
        <v>43633565.619999997</v>
      </c>
      <c r="D19" s="21">
        <f>D18+B19-C19</f>
        <v>519662601.61999989</v>
      </c>
      <c r="E19" s="32"/>
    </row>
    <row r="20" spans="1:6" ht="14.25" x14ac:dyDescent="0.2">
      <c r="A20" s="18">
        <v>2019</v>
      </c>
      <c r="B20" s="33">
        <v>0</v>
      </c>
      <c r="C20" s="20">
        <f>43633565.62</f>
        <v>43633565.619999997</v>
      </c>
      <c r="D20" s="21">
        <f>D19+B20-C20</f>
        <v>476029035.99999988</v>
      </c>
      <c r="E20" s="32"/>
    </row>
    <row r="21" spans="1:6" ht="15" thickBot="1" x14ac:dyDescent="0.25">
      <c r="A21" s="22">
        <v>2020</v>
      </c>
      <c r="B21" s="24">
        <v>0</v>
      </c>
      <c r="C21" s="24">
        <f>C20</f>
        <v>43633565.619999997</v>
      </c>
      <c r="D21" s="25">
        <f>D20+B21-C21</f>
        <v>432395470.37999988</v>
      </c>
      <c r="E21" s="32"/>
    </row>
    <row r="22" spans="1:6" ht="16.5" thickTop="1" thickBot="1" x14ac:dyDescent="0.3">
      <c r="A22" s="26" t="s">
        <v>23</v>
      </c>
      <c r="B22" s="27">
        <f>SUM(B7:B21)</f>
        <v>900000000</v>
      </c>
      <c r="C22" s="65">
        <f>SUM(C7:C21)</f>
        <v>467604529.62</v>
      </c>
      <c r="D22" s="29">
        <f>B22-C22</f>
        <v>432395470.38</v>
      </c>
      <c r="E22" s="32">
        <f>B22-C22</f>
        <v>432395470.38</v>
      </c>
      <c r="F22" s="32"/>
    </row>
    <row r="23" spans="1:6" ht="13.5" thickTop="1" x14ac:dyDescent="0.2">
      <c r="A23" s="66"/>
      <c r="B23" s="66"/>
      <c r="C23" s="66"/>
      <c r="D23" s="66"/>
    </row>
    <row r="24" spans="1:6" x14ac:dyDescent="0.2">
      <c r="A24" s="3"/>
      <c r="B24" s="3"/>
      <c r="C24" s="3"/>
      <c r="D24" s="3"/>
    </row>
    <row r="25" spans="1:6" ht="15.75" x14ac:dyDescent="0.25">
      <c r="A25" s="2" t="s">
        <v>6</v>
      </c>
      <c r="C25" s="10" t="s">
        <v>5</v>
      </c>
      <c r="D25" s="49">
        <v>3000000000</v>
      </c>
    </row>
    <row r="26" spans="1:6" ht="15" x14ac:dyDescent="0.2">
      <c r="A26" s="11" t="s">
        <v>7</v>
      </c>
      <c r="B26" s="12"/>
    </row>
    <row r="27" spans="1:6" ht="13.5" thickBot="1" x14ac:dyDescent="0.25">
      <c r="A27" s="1" t="s">
        <v>11</v>
      </c>
      <c r="D27" s="13" t="s">
        <v>9</v>
      </c>
    </row>
    <row r="28" spans="1:6" ht="16.5" thickTop="1" thickBot="1" x14ac:dyDescent="0.25">
      <c r="A28" s="14" t="s">
        <v>0</v>
      </c>
      <c r="B28" s="15" t="s">
        <v>1</v>
      </c>
      <c r="C28" s="16" t="s">
        <v>2</v>
      </c>
      <c r="D28" s="17" t="s">
        <v>3</v>
      </c>
    </row>
    <row r="29" spans="1:6" ht="15" thickTop="1" x14ac:dyDescent="0.2">
      <c r="A29" s="18">
        <v>2008</v>
      </c>
      <c r="B29" s="34">
        <v>450000000</v>
      </c>
      <c r="C29" s="34">
        <v>0</v>
      </c>
      <c r="D29" s="21">
        <f>+B29-C29</f>
        <v>450000000</v>
      </c>
      <c r="E29" s="32">
        <f>D22+D42</f>
        <v>2510966899.2400002</v>
      </c>
    </row>
    <row r="30" spans="1:6" ht="14.25" x14ac:dyDescent="0.2">
      <c r="A30" s="18">
        <v>2009</v>
      </c>
      <c r="B30" s="33">
        <v>750000000</v>
      </c>
      <c r="C30" s="20">
        <v>0</v>
      </c>
      <c r="D30" s="21">
        <f t="shared" ref="D30:D41" si="2">D29+B30-C30</f>
        <v>1200000000</v>
      </c>
    </row>
    <row r="31" spans="1:6" ht="14.25" x14ac:dyDescent="0.2">
      <c r="A31" s="18">
        <v>2010</v>
      </c>
      <c r="B31" s="20">
        <v>200000000</v>
      </c>
      <c r="C31" s="20">
        <v>0</v>
      </c>
      <c r="D31" s="21">
        <f t="shared" si="2"/>
        <v>1400000000</v>
      </c>
    </row>
    <row r="32" spans="1:6" ht="14.25" x14ac:dyDescent="0.2">
      <c r="A32" s="18">
        <v>2011</v>
      </c>
      <c r="B32" s="20">
        <v>500000000</v>
      </c>
      <c r="C32" s="20">
        <v>0</v>
      </c>
      <c r="D32" s="21">
        <f t="shared" si="2"/>
        <v>1900000000</v>
      </c>
    </row>
    <row r="33" spans="1:6" ht="14.25" x14ac:dyDescent="0.2">
      <c r="A33" s="18">
        <v>2012</v>
      </c>
      <c r="B33" s="20">
        <v>500000000</v>
      </c>
      <c r="C33" s="20">
        <v>21428571.420000002</v>
      </c>
      <c r="D33" s="21">
        <f t="shared" si="2"/>
        <v>2378571428.5799999</v>
      </c>
      <c r="E33" s="45"/>
    </row>
    <row r="34" spans="1:6" ht="14.25" x14ac:dyDescent="0.2">
      <c r="A34" s="18">
        <v>2013</v>
      </c>
      <c r="B34" s="20">
        <v>600000000</v>
      </c>
      <c r="C34" s="20">
        <v>57142857.119999997</v>
      </c>
      <c r="D34" s="21">
        <f t="shared" si="2"/>
        <v>2921428571.46</v>
      </c>
      <c r="E34" s="45"/>
    </row>
    <row r="35" spans="1:6" ht="14.25" x14ac:dyDescent="0.2">
      <c r="A35" s="18">
        <v>2014</v>
      </c>
      <c r="B35" s="20">
        <v>0</v>
      </c>
      <c r="C35" s="20">
        <v>66666666.640000001</v>
      </c>
      <c r="D35" s="21">
        <f t="shared" si="2"/>
        <v>2854761904.8200002</v>
      </c>
      <c r="E35" s="45"/>
    </row>
    <row r="36" spans="1:6" ht="14.25" x14ac:dyDescent="0.2">
      <c r="A36" s="18">
        <v>2015</v>
      </c>
      <c r="B36" s="20">
        <v>0</v>
      </c>
      <c r="C36" s="20">
        <f>45238095.22*2</f>
        <v>90476190.439999998</v>
      </c>
      <c r="D36" s="21">
        <f t="shared" si="2"/>
        <v>2764285714.3800001</v>
      </c>
      <c r="E36" s="45"/>
    </row>
    <row r="37" spans="1:6" ht="14.25" x14ac:dyDescent="0.2">
      <c r="A37" s="18">
        <v>2016</v>
      </c>
      <c r="B37" s="33">
        <v>0</v>
      </c>
      <c r="C37" s="20">
        <v>114285714.23999999</v>
      </c>
      <c r="D37" s="21">
        <f t="shared" si="2"/>
        <v>2650000000.1400003</v>
      </c>
      <c r="E37" s="45"/>
    </row>
    <row r="38" spans="1:6" ht="14.25" x14ac:dyDescent="0.2">
      <c r="A38" s="18">
        <v>2017</v>
      </c>
      <c r="B38" s="33">
        <v>0</v>
      </c>
      <c r="C38" s="20">
        <f>71428571.41*2</f>
        <v>142857142.81999999</v>
      </c>
      <c r="D38" s="21">
        <f t="shared" si="2"/>
        <v>2507142857.3200002</v>
      </c>
      <c r="E38" s="57"/>
    </row>
    <row r="39" spans="1:6" ht="14.25" x14ac:dyDescent="0.2">
      <c r="A39" s="18">
        <v>2018</v>
      </c>
      <c r="B39" s="33">
        <v>0</v>
      </c>
      <c r="C39" s="20">
        <v>142857142.81999999</v>
      </c>
      <c r="D39" s="21">
        <f t="shared" si="2"/>
        <v>2364285714.5</v>
      </c>
      <c r="E39" s="45"/>
    </row>
    <row r="40" spans="1:6" ht="14.25" x14ac:dyDescent="0.2">
      <c r="A40" s="18">
        <v>2019</v>
      </c>
      <c r="B40" s="33">
        <v>0</v>
      </c>
      <c r="C40" s="20">
        <f>142857142.82</f>
        <v>142857142.81999999</v>
      </c>
      <c r="D40" s="21">
        <f t="shared" si="2"/>
        <v>2221428571.6799998</v>
      </c>
      <c r="E40" s="45"/>
    </row>
    <row r="41" spans="1:6" ht="15" thickBot="1" x14ac:dyDescent="0.25">
      <c r="A41" s="22">
        <v>2020</v>
      </c>
      <c r="B41" s="23">
        <v>0</v>
      </c>
      <c r="C41" s="24">
        <f>C40</f>
        <v>142857142.81999999</v>
      </c>
      <c r="D41" s="25">
        <f t="shared" si="2"/>
        <v>2078571428.8599999</v>
      </c>
      <c r="E41" s="45"/>
    </row>
    <row r="42" spans="1:6" ht="16.5" thickTop="1" thickBot="1" x14ac:dyDescent="0.3">
      <c r="A42" s="26" t="s">
        <v>23</v>
      </c>
      <c r="B42" s="27">
        <f>SUM(B29:B41)</f>
        <v>3000000000</v>
      </c>
      <c r="C42" s="28">
        <f>SUM(C29:C41)</f>
        <v>921428571.13999987</v>
      </c>
      <c r="D42" s="29">
        <f>B42-C42</f>
        <v>2078571428.8600001</v>
      </c>
      <c r="E42" s="57">
        <f>B42-C42</f>
        <v>2078571428.8600001</v>
      </c>
      <c r="F42" s="8"/>
    </row>
    <row r="43" spans="1:6" ht="15.75" thickTop="1" x14ac:dyDescent="0.25">
      <c r="A43" s="51"/>
      <c r="B43" s="52"/>
      <c r="C43" s="52"/>
      <c r="D43" s="52"/>
      <c r="E43" s="59"/>
    </row>
    <row r="44" spans="1:6" ht="15" x14ac:dyDescent="0.25">
      <c r="A44" s="51"/>
      <c r="B44" s="52"/>
      <c r="C44" s="52"/>
      <c r="D44" s="52"/>
      <c r="E44" s="59"/>
    </row>
    <row r="45" spans="1:6" ht="15.75" x14ac:dyDescent="0.25">
      <c r="A45" s="2" t="s">
        <v>13</v>
      </c>
      <c r="C45" s="10" t="s">
        <v>5</v>
      </c>
      <c r="D45" s="4">
        <v>700000000</v>
      </c>
    </row>
    <row r="46" spans="1:6" ht="15" x14ac:dyDescent="0.2">
      <c r="A46" s="11" t="s">
        <v>8</v>
      </c>
      <c r="B46" s="12"/>
    </row>
    <row r="47" spans="1:6" ht="13.5" thickBot="1" x14ac:dyDescent="0.25">
      <c r="A47" s="1" t="s">
        <v>15</v>
      </c>
      <c r="D47" s="13" t="s">
        <v>9</v>
      </c>
    </row>
    <row r="48" spans="1:6" ht="16.5" thickTop="1" thickBot="1" x14ac:dyDescent="0.25">
      <c r="A48" s="14" t="s">
        <v>0</v>
      </c>
      <c r="B48" s="15" t="s">
        <v>1</v>
      </c>
      <c r="C48" s="16" t="s">
        <v>2</v>
      </c>
      <c r="D48" s="17" t="s">
        <v>3</v>
      </c>
    </row>
    <row r="49" spans="1:6" ht="15" thickTop="1" x14ac:dyDescent="0.2">
      <c r="A49" s="18">
        <v>2010</v>
      </c>
      <c r="B49" s="33">
        <v>186840000</v>
      </c>
      <c r="C49" s="20">
        <v>0</v>
      </c>
      <c r="D49" s="21">
        <f>+B49-C49</f>
        <v>186840000</v>
      </c>
    </row>
    <row r="50" spans="1:6" ht="14.25" x14ac:dyDescent="0.2">
      <c r="A50" s="18">
        <v>2011</v>
      </c>
      <c r="B50" s="20">
        <f>181854000+87556935.78</f>
        <v>269410935.77999997</v>
      </c>
      <c r="C50" s="20">
        <v>0</v>
      </c>
      <c r="D50" s="21">
        <f t="shared" ref="D50:D59" si="3">D49+B50-C50</f>
        <v>456250935.77999997</v>
      </c>
    </row>
    <row r="51" spans="1:6" ht="14.25" x14ac:dyDescent="0.2">
      <c r="A51" s="18">
        <v>2012</v>
      </c>
      <c r="B51" s="20">
        <v>238381000</v>
      </c>
      <c r="C51" s="20">
        <v>0</v>
      </c>
      <c r="D51" s="21">
        <f t="shared" si="3"/>
        <v>694631935.77999997</v>
      </c>
    </row>
    <row r="52" spans="1:6" ht="14.25" x14ac:dyDescent="0.2">
      <c r="A52" s="18">
        <v>2013</v>
      </c>
      <c r="B52" s="20">
        <v>5368064.22</v>
      </c>
      <c r="C52" s="20">
        <f>11111112+11111112+5555556+5555556</f>
        <v>33333336</v>
      </c>
      <c r="D52" s="21">
        <f t="shared" si="3"/>
        <v>666666664</v>
      </c>
    </row>
    <row r="53" spans="1:6" ht="14.25" x14ac:dyDescent="0.2">
      <c r="A53" s="18">
        <v>2014</v>
      </c>
      <c r="B53" s="20">
        <v>0</v>
      </c>
      <c r="C53" s="20">
        <v>66666672</v>
      </c>
      <c r="D53" s="21">
        <f t="shared" si="3"/>
        <v>599999992</v>
      </c>
    </row>
    <row r="54" spans="1:6" ht="14.25" x14ac:dyDescent="0.2">
      <c r="A54" s="18">
        <v>2015</v>
      </c>
      <c r="B54" s="20">
        <v>0</v>
      </c>
      <c r="C54" s="20">
        <f>(33333336/6)*12</f>
        <v>66666672</v>
      </c>
      <c r="D54" s="21">
        <f t="shared" si="3"/>
        <v>533333320</v>
      </c>
    </row>
    <row r="55" spans="1:6" ht="14.25" x14ac:dyDescent="0.2">
      <c r="A55" s="18">
        <v>2016</v>
      </c>
      <c r="B55" s="20">
        <v>0</v>
      </c>
      <c r="C55" s="20">
        <v>61111116</v>
      </c>
      <c r="D55" s="21">
        <f t="shared" si="3"/>
        <v>472222204</v>
      </c>
    </row>
    <row r="56" spans="1:6" ht="14.25" x14ac:dyDescent="0.2">
      <c r="A56" s="18">
        <v>2017</v>
      </c>
      <c r="B56" s="33">
        <v>0</v>
      </c>
      <c r="C56" s="20">
        <v>72222228</v>
      </c>
      <c r="D56" s="21">
        <f t="shared" si="3"/>
        <v>399999976</v>
      </c>
    </row>
    <row r="57" spans="1:6" ht="14.25" x14ac:dyDescent="0.2">
      <c r="A57" s="18">
        <v>2018</v>
      </c>
      <c r="B57" s="33">
        <v>0</v>
      </c>
      <c r="C57" s="20">
        <v>66666672</v>
      </c>
      <c r="D57" s="21">
        <f t="shared" si="3"/>
        <v>333333304</v>
      </c>
    </row>
    <row r="58" spans="1:6" ht="14.25" x14ac:dyDescent="0.2">
      <c r="A58" s="18">
        <v>2019</v>
      </c>
      <c r="B58" s="20">
        <v>0</v>
      </c>
      <c r="C58" s="20">
        <f>5555556*12</f>
        <v>66666672</v>
      </c>
      <c r="D58" s="21">
        <f t="shared" si="3"/>
        <v>266666632</v>
      </c>
    </row>
    <row r="59" spans="1:6" ht="15" thickBot="1" x14ac:dyDescent="0.25">
      <c r="A59" s="22">
        <v>2020</v>
      </c>
      <c r="B59" s="23">
        <v>0</v>
      </c>
      <c r="C59" s="24">
        <f>5555556*12</f>
        <v>66666672</v>
      </c>
      <c r="D59" s="25">
        <f t="shared" si="3"/>
        <v>199999960</v>
      </c>
    </row>
    <row r="60" spans="1:6" ht="16.5" thickTop="1" thickBot="1" x14ac:dyDescent="0.3">
      <c r="A60" s="26" t="s">
        <v>23</v>
      </c>
      <c r="B60" s="27">
        <f>SUM(B49:B59)</f>
        <v>700000000</v>
      </c>
      <c r="C60" s="28">
        <f>SUM(C49:C59)</f>
        <v>500000040</v>
      </c>
      <c r="D60" s="29">
        <f>B60-C60</f>
        <v>199999960</v>
      </c>
      <c r="E60" s="58">
        <f>B60-C60</f>
        <v>199999960</v>
      </c>
      <c r="F60" s="8"/>
    </row>
    <row r="61" spans="1:6" ht="15.75" thickTop="1" x14ac:dyDescent="0.25">
      <c r="A61" s="51"/>
      <c r="B61" s="52"/>
      <c r="C61" s="52"/>
      <c r="D61" s="52"/>
      <c r="E61" s="58"/>
      <c r="F61" s="8"/>
    </row>
    <row r="62" spans="1:6" ht="15" x14ac:dyDescent="0.25">
      <c r="A62" s="51"/>
      <c r="B62" s="52"/>
      <c r="C62" s="52"/>
      <c r="D62" s="52"/>
      <c r="E62" s="58"/>
      <c r="F62" s="8"/>
    </row>
    <row r="63" spans="1:6" ht="15.75" x14ac:dyDescent="0.25">
      <c r="A63" s="2" t="s">
        <v>14</v>
      </c>
      <c r="C63" s="10" t="s">
        <v>5</v>
      </c>
      <c r="D63" s="4">
        <v>100000000</v>
      </c>
      <c r="E63" s="58"/>
      <c r="F63" s="8"/>
    </row>
    <row r="64" spans="1:6" ht="15" x14ac:dyDescent="0.2">
      <c r="A64" s="11" t="s">
        <v>8</v>
      </c>
      <c r="B64" s="12"/>
      <c r="E64" s="58"/>
      <c r="F64" s="8"/>
    </row>
    <row r="65" spans="1:6" ht="13.5" thickBot="1" x14ac:dyDescent="0.25">
      <c r="A65" s="1" t="s">
        <v>17</v>
      </c>
      <c r="D65" s="13" t="s">
        <v>9</v>
      </c>
      <c r="E65" s="58"/>
      <c r="F65" s="8"/>
    </row>
    <row r="66" spans="1:6" ht="16.5" thickTop="1" thickBot="1" x14ac:dyDescent="0.25">
      <c r="A66" s="14" t="s">
        <v>0</v>
      </c>
      <c r="B66" s="15" t="s">
        <v>1</v>
      </c>
      <c r="C66" s="56" t="s">
        <v>2</v>
      </c>
      <c r="D66" s="17" t="s">
        <v>3</v>
      </c>
      <c r="E66" s="58"/>
      <c r="F66" s="8"/>
    </row>
    <row r="67" spans="1:6" ht="15" thickTop="1" x14ac:dyDescent="0.2">
      <c r="A67" s="60">
        <v>2018</v>
      </c>
      <c r="B67" s="34">
        <v>62252008.049999997</v>
      </c>
      <c r="C67" s="34">
        <v>0</v>
      </c>
      <c r="D67" s="61">
        <f>B67-C67</f>
        <v>62252008.049999997</v>
      </c>
      <c r="E67" s="58"/>
      <c r="F67" s="8"/>
    </row>
    <row r="68" spans="1:6" ht="14.25" x14ac:dyDescent="0.2">
      <c r="A68" s="18">
        <v>2019</v>
      </c>
      <c r="B68" s="20">
        <v>28630986</v>
      </c>
      <c r="C68" s="20">
        <v>0</v>
      </c>
      <c r="D68" s="21">
        <f>D67+B68-C68</f>
        <v>90882994.049999997</v>
      </c>
      <c r="E68" s="58"/>
      <c r="F68" s="8"/>
    </row>
    <row r="69" spans="1:6" ht="15" thickBot="1" x14ac:dyDescent="0.25">
      <c r="A69" s="22">
        <v>2020</v>
      </c>
      <c r="B69" s="24">
        <v>9117005.9499999993</v>
      </c>
      <c r="C69" s="24">
        <f>9091000*2</f>
        <v>18182000</v>
      </c>
      <c r="D69" s="25">
        <f>D68+B69-C69</f>
        <v>81818000</v>
      </c>
      <c r="E69" s="58"/>
      <c r="F69" s="8"/>
    </row>
    <row r="70" spans="1:6" ht="16.5" thickTop="1" thickBot="1" x14ac:dyDescent="0.3">
      <c r="A70" s="26" t="s">
        <v>23</v>
      </c>
      <c r="B70" s="28">
        <f>SUM(B67:B69)</f>
        <v>100000000</v>
      </c>
      <c r="C70" s="28">
        <f>SUM(C67:C69)</f>
        <v>18182000</v>
      </c>
      <c r="D70" s="29">
        <f>B70-C70</f>
        <v>81818000</v>
      </c>
      <c r="E70" s="58">
        <f>B70-C70</f>
        <v>81818000</v>
      </c>
      <c r="F70" s="8"/>
    </row>
    <row r="71" spans="1:6" ht="15.75" thickTop="1" x14ac:dyDescent="0.25">
      <c r="A71" s="51"/>
      <c r="B71" s="52"/>
      <c r="C71" s="52"/>
      <c r="D71" s="52"/>
      <c r="E71" s="58"/>
      <c r="F71" s="8"/>
    </row>
    <row r="72" spans="1:6" ht="15" x14ac:dyDescent="0.25">
      <c r="A72" s="51"/>
      <c r="B72" s="52"/>
      <c r="C72" s="52"/>
      <c r="D72" s="52"/>
      <c r="E72" s="58"/>
      <c r="F72" s="8"/>
    </row>
    <row r="73" spans="1:6" ht="15.75" x14ac:dyDescent="0.25">
      <c r="A73" s="2" t="s">
        <v>16</v>
      </c>
      <c r="C73" s="10" t="s">
        <v>5</v>
      </c>
      <c r="D73" s="4">
        <v>600000000</v>
      </c>
      <c r="E73" s="58"/>
      <c r="F73" s="8"/>
    </row>
    <row r="74" spans="1:6" ht="15" x14ac:dyDescent="0.2">
      <c r="A74" s="11" t="s">
        <v>8</v>
      </c>
      <c r="B74" s="12"/>
      <c r="E74" s="58"/>
      <c r="F74" s="8"/>
    </row>
    <row r="75" spans="1:6" ht="13.5" thickBot="1" x14ac:dyDescent="0.25">
      <c r="A75" s="1" t="s">
        <v>17</v>
      </c>
      <c r="D75" s="13" t="s">
        <v>9</v>
      </c>
      <c r="E75" s="58"/>
      <c r="F75" s="8"/>
    </row>
    <row r="76" spans="1:6" ht="16.5" thickTop="1" thickBot="1" x14ac:dyDescent="0.25">
      <c r="A76" s="14" t="s">
        <v>0</v>
      </c>
      <c r="B76" s="15" t="s">
        <v>1</v>
      </c>
      <c r="C76" s="56" t="s">
        <v>2</v>
      </c>
      <c r="D76" s="17" t="s">
        <v>3</v>
      </c>
      <c r="E76" s="58"/>
      <c r="F76" s="8"/>
    </row>
    <row r="77" spans="1:6" ht="15" hidden="1" thickTop="1" x14ac:dyDescent="0.2">
      <c r="A77" s="18">
        <v>2013</v>
      </c>
      <c r="B77" s="20"/>
      <c r="C77" s="20"/>
      <c r="D77" s="21"/>
      <c r="E77" s="58"/>
      <c r="F77" s="8"/>
    </row>
    <row r="78" spans="1:6" ht="14.25" hidden="1" x14ac:dyDescent="0.2">
      <c r="A78" s="18">
        <v>2014</v>
      </c>
      <c r="B78" s="20"/>
      <c r="C78" s="20"/>
      <c r="D78" s="21"/>
      <c r="E78" s="58"/>
      <c r="F78" s="8"/>
    </row>
    <row r="79" spans="1:6" ht="14.25" hidden="1" x14ac:dyDescent="0.2">
      <c r="A79" s="18">
        <v>2015</v>
      </c>
      <c r="B79" s="20"/>
      <c r="C79" s="20"/>
      <c r="D79" s="21"/>
      <c r="E79" s="58"/>
      <c r="F79" s="8"/>
    </row>
    <row r="80" spans="1:6" ht="14.25" hidden="1" x14ac:dyDescent="0.2">
      <c r="A80" s="18">
        <v>2016</v>
      </c>
      <c r="B80" s="20"/>
      <c r="C80" s="20"/>
      <c r="D80" s="21"/>
      <c r="E80" s="58"/>
      <c r="F80" s="8"/>
    </row>
    <row r="81" spans="1:6" ht="15" thickTop="1" x14ac:dyDescent="0.2">
      <c r="A81" s="18">
        <v>2017</v>
      </c>
      <c r="B81" s="20">
        <v>183833282.94</v>
      </c>
      <c r="C81" s="20">
        <v>0</v>
      </c>
      <c r="D81" s="21">
        <f>B81+C81-D80</f>
        <v>183833282.94</v>
      </c>
      <c r="E81" s="58"/>
      <c r="F81" s="8"/>
    </row>
    <row r="82" spans="1:6" ht="14.25" x14ac:dyDescent="0.2">
      <c r="A82" s="18">
        <v>2018</v>
      </c>
      <c r="B82" s="20">
        <v>714176805.38</v>
      </c>
      <c r="C82" s="20">
        <v>628763537.48000002</v>
      </c>
      <c r="D82" s="21">
        <f>D81+B82-C82</f>
        <v>269246550.83999991</v>
      </c>
      <c r="E82" s="58"/>
      <c r="F82" s="8"/>
    </row>
    <row r="83" spans="1:6" ht="14.25" x14ac:dyDescent="0.2">
      <c r="A83" s="18">
        <v>2019</v>
      </c>
      <c r="B83" s="20">
        <v>448385928.25999999</v>
      </c>
      <c r="C83" s="20">
        <v>495532962.57999998</v>
      </c>
      <c r="D83" s="21">
        <f>D82+B83-C83</f>
        <v>222099516.51999992</v>
      </c>
      <c r="E83" s="58"/>
      <c r="F83" s="8"/>
    </row>
    <row r="84" spans="1:6" ht="15" thickBot="1" x14ac:dyDescent="0.25">
      <c r="A84" s="22">
        <v>2020</v>
      </c>
      <c r="B84" s="24">
        <v>558723333.41999996</v>
      </c>
      <c r="C84" s="24">
        <v>717618624.78999996</v>
      </c>
      <c r="D84" s="25">
        <f>D83+B84-C84</f>
        <v>63204225.149999857</v>
      </c>
      <c r="E84" s="58"/>
      <c r="F84" s="8"/>
    </row>
    <row r="85" spans="1:6" ht="16.5" thickTop="1" thickBot="1" x14ac:dyDescent="0.3">
      <c r="A85" s="26" t="s">
        <v>23</v>
      </c>
      <c r="B85" s="28">
        <f>SUM(B77:B84)</f>
        <v>1905119350</v>
      </c>
      <c r="C85" s="28">
        <f>SUM(C77:C84)</f>
        <v>1841915124.8499999</v>
      </c>
      <c r="D85" s="29">
        <f>B85-C85</f>
        <v>63204225.150000095</v>
      </c>
      <c r="E85" s="58">
        <f>B85-C85</f>
        <v>63204225.150000095</v>
      </c>
      <c r="F85" s="8"/>
    </row>
    <row r="86" spans="1:6" ht="15.75" thickTop="1" x14ac:dyDescent="0.25">
      <c r="A86" s="51"/>
      <c r="B86" s="52"/>
      <c r="C86" s="52"/>
      <c r="D86" s="52"/>
      <c r="E86" s="58"/>
      <c r="F86" s="8"/>
    </row>
    <row r="87" spans="1:6" ht="15" x14ac:dyDescent="0.25">
      <c r="A87" s="51"/>
      <c r="B87" s="52"/>
      <c r="C87" s="52"/>
      <c r="D87" s="52"/>
      <c r="E87" s="58"/>
      <c r="F87" s="8"/>
    </row>
    <row r="88" spans="1:6" ht="15.75" x14ac:dyDescent="0.25">
      <c r="A88" s="2" t="s">
        <v>20</v>
      </c>
      <c r="C88" s="10" t="s">
        <v>5</v>
      </c>
      <c r="D88" s="4">
        <v>200000000</v>
      </c>
      <c r="E88" s="58"/>
      <c r="F88" s="8"/>
    </row>
    <row r="89" spans="1:6" ht="15" x14ac:dyDescent="0.2">
      <c r="A89" s="11" t="s">
        <v>18</v>
      </c>
      <c r="B89" s="12"/>
      <c r="E89" s="58"/>
      <c r="F89" s="8"/>
    </row>
    <row r="90" spans="1:6" ht="13.5" thickBot="1" x14ac:dyDescent="0.25">
      <c r="A90" s="1" t="s">
        <v>19</v>
      </c>
      <c r="D90" s="13" t="s">
        <v>9</v>
      </c>
      <c r="E90" s="58"/>
      <c r="F90" s="8"/>
    </row>
    <row r="91" spans="1:6" ht="16.5" thickTop="1" thickBot="1" x14ac:dyDescent="0.25">
      <c r="A91" s="14" t="s">
        <v>0</v>
      </c>
      <c r="B91" s="15" t="s">
        <v>1</v>
      </c>
      <c r="C91" s="56" t="s">
        <v>2</v>
      </c>
      <c r="D91" s="17" t="s">
        <v>3</v>
      </c>
      <c r="E91" s="58"/>
      <c r="F91" s="8"/>
    </row>
    <row r="92" spans="1:6" ht="15" thickTop="1" x14ac:dyDescent="0.2">
      <c r="A92" s="18">
        <v>2018</v>
      </c>
      <c r="B92" s="20">
        <v>200000000</v>
      </c>
      <c r="C92" s="20">
        <v>50000000</v>
      </c>
      <c r="D92" s="21">
        <f>+B92-C92</f>
        <v>150000000</v>
      </c>
      <c r="E92" s="58"/>
      <c r="F92" s="8"/>
    </row>
    <row r="93" spans="1:6" ht="14.25" x14ac:dyDescent="0.2">
      <c r="A93" s="18">
        <v>2019</v>
      </c>
      <c r="B93" s="20">
        <v>0</v>
      </c>
      <c r="C93" s="20">
        <f>75000000</f>
        <v>75000000</v>
      </c>
      <c r="D93" s="21">
        <f>D92+B93-C93</f>
        <v>75000000</v>
      </c>
      <c r="E93" s="58"/>
      <c r="F93" s="8"/>
    </row>
    <row r="94" spans="1:6" ht="15" thickBot="1" x14ac:dyDescent="0.25">
      <c r="A94" s="22">
        <v>2020</v>
      </c>
      <c r="B94" s="24">
        <v>0</v>
      </c>
      <c r="C94" s="24">
        <v>75000000</v>
      </c>
      <c r="D94" s="25">
        <f>D93+B94-C94</f>
        <v>0</v>
      </c>
      <c r="E94" s="58"/>
      <c r="F94" s="8"/>
    </row>
    <row r="95" spans="1:6" ht="16.5" thickTop="1" thickBot="1" x14ac:dyDescent="0.3">
      <c r="A95" s="26" t="s">
        <v>23</v>
      </c>
      <c r="B95" s="28">
        <f>SUM(B92:B94)</f>
        <v>200000000</v>
      </c>
      <c r="C95" s="28">
        <f>SUM(C92:C94)</f>
        <v>200000000</v>
      </c>
      <c r="D95" s="29">
        <f>B95-C95</f>
        <v>0</v>
      </c>
      <c r="E95" s="58">
        <f>B95-C95</f>
        <v>0</v>
      </c>
      <c r="F95" s="8"/>
    </row>
    <row r="96" spans="1:6" ht="15.75" thickTop="1" x14ac:dyDescent="0.25">
      <c r="A96" s="53"/>
      <c r="B96" s="52"/>
      <c r="C96" s="52"/>
      <c r="D96" s="52"/>
      <c r="E96" s="48"/>
      <c r="F96" s="8"/>
    </row>
    <row r="97" spans="1:8" ht="15" x14ac:dyDescent="0.25">
      <c r="A97" s="53"/>
      <c r="B97" s="52"/>
      <c r="C97" s="52"/>
      <c r="D97" s="52"/>
      <c r="E97" s="48"/>
      <c r="F97" s="8"/>
    </row>
    <row r="98" spans="1:8" ht="15.75" x14ac:dyDescent="0.25">
      <c r="A98" s="2" t="s">
        <v>21</v>
      </c>
      <c r="C98" s="10" t="s">
        <v>5</v>
      </c>
      <c r="D98" s="4">
        <v>500000000</v>
      </c>
      <c r="E98" s="48"/>
      <c r="F98" s="8"/>
    </row>
    <row r="99" spans="1:8" ht="15" x14ac:dyDescent="0.2">
      <c r="A99" s="11" t="s">
        <v>8</v>
      </c>
      <c r="B99" s="12"/>
      <c r="E99" s="48"/>
      <c r="F99" s="8"/>
    </row>
    <row r="100" spans="1:8" ht="13.5" thickBot="1" x14ac:dyDescent="0.25">
      <c r="A100" s="1" t="s">
        <v>22</v>
      </c>
      <c r="D100" s="13" t="s">
        <v>9</v>
      </c>
      <c r="E100" s="48"/>
      <c r="F100" s="8"/>
    </row>
    <row r="101" spans="1:8" ht="16.5" thickTop="1" thickBot="1" x14ac:dyDescent="0.25">
      <c r="A101" s="14" t="s">
        <v>0</v>
      </c>
      <c r="B101" s="15" t="s">
        <v>1</v>
      </c>
      <c r="C101" s="56" t="s">
        <v>2</v>
      </c>
      <c r="D101" s="17" t="s">
        <v>3</v>
      </c>
      <c r="E101" s="48"/>
      <c r="F101" s="8"/>
    </row>
    <row r="102" spans="1:8" ht="15.75" thickTop="1" thickBot="1" x14ac:dyDescent="0.25">
      <c r="A102" s="62">
        <v>2020</v>
      </c>
      <c r="B102" s="63">
        <v>500000000</v>
      </c>
      <c r="C102" s="63">
        <v>100000000</v>
      </c>
      <c r="D102" s="64">
        <f>+B102-C102</f>
        <v>400000000</v>
      </c>
      <c r="E102" s="48"/>
      <c r="F102" s="8"/>
    </row>
    <row r="103" spans="1:8" ht="16.5" thickTop="1" thickBot="1" x14ac:dyDescent="0.3">
      <c r="A103" s="26" t="s">
        <v>23</v>
      </c>
      <c r="B103" s="28">
        <f>SUM(B102:B102)</f>
        <v>500000000</v>
      </c>
      <c r="C103" s="28">
        <f>SUM(C102:C102)</f>
        <v>100000000</v>
      </c>
      <c r="D103" s="29">
        <f>B103-C103</f>
        <v>400000000</v>
      </c>
      <c r="E103" s="48"/>
      <c r="F103" s="8"/>
    </row>
    <row r="104" spans="1:8" ht="15.75" thickTop="1" x14ac:dyDescent="0.25">
      <c r="A104" s="53"/>
      <c r="B104" s="52"/>
      <c r="C104" s="52"/>
      <c r="D104" s="52"/>
      <c r="E104" s="48"/>
      <c r="F104" s="8"/>
    </row>
    <row r="105" spans="1:8" x14ac:dyDescent="0.2">
      <c r="B105" s="50"/>
      <c r="E105" s="47"/>
      <c r="F105" s="8"/>
    </row>
    <row r="106" spans="1:8" ht="18.75" thickBot="1" x14ac:dyDescent="0.3">
      <c r="A106" s="36" t="s">
        <v>4</v>
      </c>
      <c r="B106" s="37"/>
      <c r="C106" s="37"/>
      <c r="D106" s="35" t="s">
        <v>9</v>
      </c>
      <c r="F106" s="46"/>
    </row>
    <row r="107" spans="1:8" ht="16.5" thickTop="1" thickBot="1" x14ac:dyDescent="0.25">
      <c r="A107" s="14" t="s">
        <v>0</v>
      </c>
      <c r="B107" s="15" t="s">
        <v>1</v>
      </c>
      <c r="C107" s="16" t="s">
        <v>2</v>
      </c>
      <c r="D107" s="17" t="s">
        <v>3</v>
      </c>
    </row>
    <row r="108" spans="1:8" s="43" customFormat="1" ht="17.25" hidden="1" thickTop="1" x14ac:dyDescent="0.25">
      <c r="A108" s="39">
        <v>2005</v>
      </c>
      <c r="B108" s="40" t="e">
        <f>SUM(#REF!)</f>
        <v>#REF!</v>
      </c>
      <c r="C108" s="40" t="e">
        <f>SUM(#REF!)</f>
        <v>#REF!</v>
      </c>
      <c r="D108" s="40" t="e">
        <f>SUM(#REF!)</f>
        <v>#REF!</v>
      </c>
      <c r="E108" s="41"/>
      <c r="F108" s="42"/>
      <c r="H108" s="44"/>
    </row>
    <row r="109" spans="1:8" s="43" customFormat="1" ht="17.25" thickTop="1" x14ac:dyDescent="0.25">
      <c r="A109" s="39">
        <v>2006</v>
      </c>
      <c r="B109" s="40">
        <f t="shared" ref="B109:D110" si="4">SUM(B7)</f>
        <v>289000000</v>
      </c>
      <c r="C109" s="40">
        <f t="shared" si="4"/>
        <v>0</v>
      </c>
      <c r="D109" s="40">
        <f t="shared" si="4"/>
        <v>289000000</v>
      </c>
      <c r="E109" s="54"/>
      <c r="F109" s="42"/>
      <c r="H109" s="44"/>
    </row>
    <row r="110" spans="1:8" s="43" customFormat="1" ht="16.5" x14ac:dyDescent="0.25">
      <c r="A110" s="39">
        <v>2007</v>
      </c>
      <c r="B110" s="40">
        <f t="shared" si="4"/>
        <v>379500000</v>
      </c>
      <c r="C110" s="40">
        <f t="shared" si="4"/>
        <v>0</v>
      </c>
      <c r="D110" s="40">
        <f t="shared" si="4"/>
        <v>668500000</v>
      </c>
      <c r="E110" s="54"/>
      <c r="F110" s="42"/>
      <c r="H110" s="44"/>
    </row>
    <row r="111" spans="1:8" s="43" customFormat="1" ht="16.5" x14ac:dyDescent="0.25">
      <c r="A111" s="39">
        <v>2008</v>
      </c>
      <c r="B111" s="40">
        <f>SUM(B9,B29)</f>
        <v>681500000</v>
      </c>
      <c r="C111" s="40">
        <f>SUM(C9,C29)</f>
        <v>14097560.98</v>
      </c>
      <c r="D111" s="40">
        <f>SUM(D9,D29)</f>
        <v>1335902439.02</v>
      </c>
      <c r="E111" s="54"/>
      <c r="F111" s="42"/>
      <c r="H111" s="44"/>
    </row>
    <row r="112" spans="1:8" s="43" customFormat="1" ht="16.5" x14ac:dyDescent="0.25">
      <c r="A112" s="39">
        <v>2009</v>
      </c>
      <c r="B112" s="40">
        <f>SUM(B30,B10)</f>
        <v>750000000</v>
      </c>
      <c r="C112" s="40">
        <f>SUM(C30,C10)</f>
        <v>14097560.98</v>
      </c>
      <c r="D112" s="40">
        <f>SUM(D30,D10)</f>
        <v>2071804878.04</v>
      </c>
      <c r="E112" s="54"/>
      <c r="F112" s="42"/>
      <c r="H112" s="44"/>
    </row>
    <row r="113" spans="1:8" s="43" customFormat="1" ht="16.5" x14ac:dyDescent="0.25">
      <c r="A113" s="39">
        <v>2010</v>
      </c>
      <c r="B113" s="40">
        <f t="shared" ref="B113:D114" si="5">SUM(B31,B11,B49)</f>
        <v>386840000</v>
      </c>
      <c r="C113" s="40">
        <f t="shared" si="5"/>
        <v>14097560.98</v>
      </c>
      <c r="D113" s="40">
        <f t="shared" si="5"/>
        <v>2444547317.0599999</v>
      </c>
      <c r="E113" s="54"/>
      <c r="F113" s="42"/>
      <c r="H113" s="44"/>
    </row>
    <row r="114" spans="1:8" s="43" customFormat="1" ht="16.5" x14ac:dyDescent="0.25">
      <c r="A114" s="39">
        <v>2011</v>
      </c>
      <c r="B114" s="40">
        <f t="shared" si="5"/>
        <v>769410935.77999997</v>
      </c>
      <c r="C114" s="40">
        <f t="shared" si="5"/>
        <v>32609756.100000001</v>
      </c>
      <c r="D114" s="40">
        <f t="shared" si="5"/>
        <v>3181348496.7399998</v>
      </c>
      <c r="E114" s="54"/>
      <c r="F114" s="42"/>
      <c r="H114" s="44"/>
    </row>
    <row r="115" spans="1:8" s="43" customFormat="1" ht="16.5" x14ac:dyDescent="0.25">
      <c r="A115" s="39">
        <v>2012</v>
      </c>
      <c r="B115" s="40">
        <f t="shared" ref="B115:D119" si="6">SUM(B13,B33,B51)</f>
        <v>738381000</v>
      </c>
      <c r="C115" s="40">
        <f t="shared" si="6"/>
        <v>65062137.039999999</v>
      </c>
      <c r="D115" s="40">
        <f t="shared" si="6"/>
        <v>3854667359.6999998</v>
      </c>
      <c r="E115" s="54"/>
      <c r="F115" s="42"/>
      <c r="H115" s="44"/>
    </row>
    <row r="116" spans="1:8" s="43" customFormat="1" ht="16.5" x14ac:dyDescent="0.25">
      <c r="A116" s="39">
        <v>2013</v>
      </c>
      <c r="B116" s="40">
        <f t="shared" si="6"/>
        <v>605368064.22000003</v>
      </c>
      <c r="C116" s="40">
        <f t="shared" si="6"/>
        <v>134109758.73999999</v>
      </c>
      <c r="D116" s="40">
        <f t="shared" si="6"/>
        <v>4325925665.1800003</v>
      </c>
      <c r="E116" s="54"/>
      <c r="F116" s="42"/>
      <c r="H116" s="44"/>
    </row>
    <row r="117" spans="1:8" s="43" customFormat="1" ht="16.5" x14ac:dyDescent="0.25">
      <c r="A117" s="39">
        <v>2014</v>
      </c>
      <c r="B117" s="40">
        <f t="shared" si="6"/>
        <v>0</v>
      </c>
      <c r="C117" s="40">
        <f t="shared" si="6"/>
        <v>176966904.25999999</v>
      </c>
      <c r="D117" s="40">
        <f t="shared" si="6"/>
        <v>4148958760.9200001</v>
      </c>
      <c r="E117" s="54"/>
      <c r="F117" s="42"/>
      <c r="H117" s="44"/>
    </row>
    <row r="118" spans="1:8" s="43" customFormat="1" ht="16.5" x14ac:dyDescent="0.25">
      <c r="A118" s="39">
        <v>2015</v>
      </c>
      <c r="B118" s="40">
        <f t="shared" si="6"/>
        <v>0</v>
      </c>
      <c r="C118" s="40">
        <f t="shared" si="6"/>
        <v>200776428.06</v>
      </c>
      <c r="D118" s="40">
        <f t="shared" si="6"/>
        <v>3948182332.8600001</v>
      </c>
      <c r="E118" s="54"/>
      <c r="F118" s="42"/>
      <c r="H118" s="44"/>
    </row>
    <row r="119" spans="1:8" s="43" customFormat="1" ht="16.5" x14ac:dyDescent="0.25">
      <c r="A119" s="39">
        <v>2016</v>
      </c>
      <c r="B119" s="40">
        <f t="shared" si="6"/>
        <v>0</v>
      </c>
      <c r="C119" s="40">
        <f t="shared" si="6"/>
        <v>219030395.85999998</v>
      </c>
      <c r="D119" s="40">
        <f t="shared" si="6"/>
        <v>3729151937</v>
      </c>
      <c r="E119" s="54"/>
      <c r="F119" s="42"/>
      <c r="H119" s="44"/>
    </row>
    <row r="120" spans="1:8" s="43" customFormat="1" ht="16.5" x14ac:dyDescent="0.25">
      <c r="A120" s="39">
        <v>2017</v>
      </c>
      <c r="B120" s="40">
        <f>SUM(B18,B38,B56,B81)</f>
        <v>183833282.94</v>
      </c>
      <c r="C120" s="40">
        <f>SUM(C18,C38,C56,C81)</f>
        <v>258712936.44</v>
      </c>
      <c r="D120" s="40">
        <f>SUM(D18,D38,D56,D81)</f>
        <v>3654272283.5</v>
      </c>
      <c r="E120" s="54"/>
      <c r="F120" s="42"/>
      <c r="H120" s="44"/>
    </row>
    <row r="121" spans="1:8" s="43" customFormat="1" ht="16.5" x14ac:dyDescent="0.25">
      <c r="A121" s="39">
        <v>2018</v>
      </c>
      <c r="B121" s="40">
        <f t="shared" ref="B121:D121" si="7">SUM(B19,B39,B57,B67,B82,B92)</f>
        <v>976428813.42999995</v>
      </c>
      <c r="C121" s="40">
        <f t="shared" si="7"/>
        <v>931920917.92000008</v>
      </c>
      <c r="D121" s="40">
        <f t="shared" si="7"/>
        <v>3698780179.0100002</v>
      </c>
      <c r="E121" s="54"/>
      <c r="F121" s="42"/>
      <c r="H121" s="44"/>
    </row>
    <row r="122" spans="1:8" s="43" customFormat="1" ht="16.5" x14ac:dyDescent="0.25">
      <c r="A122" s="39">
        <v>2019</v>
      </c>
      <c r="B122" s="40">
        <f t="shared" ref="B122:D122" si="8">SUM(B20,B40,B58,B68,B83,B93)</f>
        <v>477016914.25999999</v>
      </c>
      <c r="C122" s="40">
        <f t="shared" si="8"/>
        <v>823690343.01999998</v>
      </c>
      <c r="D122" s="40">
        <f t="shared" si="8"/>
        <v>3352106750.25</v>
      </c>
      <c r="E122" s="54"/>
      <c r="F122" s="42"/>
      <c r="H122" s="44"/>
    </row>
    <row r="123" spans="1:8" s="43" customFormat="1" ht="17.25" thickBot="1" x14ac:dyDescent="0.3">
      <c r="A123" s="39">
        <v>2020</v>
      </c>
      <c r="B123" s="40">
        <f>SUM(B21,B41,B59,B69,B84,B94,B102)</f>
        <v>1067840339.37</v>
      </c>
      <c r="C123" s="40">
        <f>SUM(C21,C41,C59,C69,C84,C94,C102)</f>
        <v>1163958005.23</v>
      </c>
      <c r="D123" s="40">
        <f>SUM(D21,D41,D59,D69,D84,D94,D102)</f>
        <v>3255989084.3899994</v>
      </c>
      <c r="E123" s="54"/>
      <c r="F123" s="42"/>
      <c r="H123" s="44"/>
    </row>
    <row r="124" spans="1:8" ht="17.25" customHeight="1" thickTop="1" x14ac:dyDescent="0.25">
      <c r="A124" s="55"/>
      <c r="B124" s="38"/>
      <c r="C124" s="38"/>
      <c r="D124" s="38"/>
      <c r="E124" s="54"/>
    </row>
    <row r="125" spans="1:8" ht="18.75" thickBot="1" x14ac:dyDescent="0.3">
      <c r="A125" s="30" t="s">
        <v>24</v>
      </c>
      <c r="B125" s="31">
        <f>B22+B42+B60+B70+B85+B95+B103</f>
        <v>7305119350</v>
      </c>
      <c r="C125" s="31">
        <f>C22+C42+C60+C70+C85+C95+C103</f>
        <v>4049130265.6099997</v>
      </c>
      <c r="D125" s="31">
        <f t="shared" ref="D125" si="9">D22+D42+D60+D70+D85+D95+D103</f>
        <v>3255989084.3900003</v>
      </c>
      <c r="E125" s="54"/>
    </row>
    <row r="126" spans="1:8" ht="13.5" thickTop="1" x14ac:dyDescent="0.2"/>
    <row r="127" spans="1:8" x14ac:dyDescent="0.2">
      <c r="B127" s="32"/>
      <c r="C127" s="32"/>
    </row>
    <row r="128" spans="1:8" x14ac:dyDescent="0.2">
      <c r="C128" s="32"/>
    </row>
    <row r="129" spans="2:2" x14ac:dyDescent="0.2">
      <c r="B129" s="50"/>
    </row>
  </sheetData>
  <mergeCells count="2">
    <mergeCell ref="A23:D23"/>
    <mergeCell ref="A1:D1"/>
  </mergeCells>
  <phoneticPr fontId="4" type="noConversion"/>
  <pageMargins left="0.98425196850393704" right="0.98425196850393704" top="0.78740157480314965" bottom="0.98425196850393704" header="0.51181102362204722" footer="0.51181102362204722"/>
  <pageSetup paperSize="9" scale="69" firstPageNumber="42" orientation="portrait" useFirstPageNumber="1" r:id="rId1"/>
  <headerFooter scaleWithDoc="0" alignWithMargins="0">
    <oddFooter>&amp;L&amp;"Arial,Kurzíva"Zastupitelstvo Olomouckého kraje 21. 6. 2021
11.1. - Rozpočet Olomouckého kraje 2020 - závěrečný účet
Příloha č. 4 - Přehled nesplacených úvěrů a půjček OK k 31.12.2020&amp;R&amp;"Arial,Kurzíva"Strana &amp;P (celkem 306)</oddFooter>
  </headerFooter>
  <rowBreaks count="1" manualBreakCount="1">
    <brk id="62" max="3" man="1"/>
  </rowBreaks>
  <ignoredErrors>
    <ignoredError sqref="D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úvěrů</vt:lpstr>
      <vt:lpstr>'Přehled úvěrů'!Oblast_tisku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Foret Oldřich</cp:lastModifiedBy>
  <cp:lastPrinted>2021-06-02T07:46:09Z</cp:lastPrinted>
  <dcterms:created xsi:type="dcterms:W3CDTF">2007-04-30T12:48:03Z</dcterms:created>
  <dcterms:modified xsi:type="dcterms:W3CDTF">2021-06-02T08:19:23Z</dcterms:modified>
</cp:coreProperties>
</file>