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4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omments5.xml" ContentType="application/vnd.openxmlformats-officedocument.spreadsheetml.comment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Rozbory-Plnička\Rozbory hospodaření - 2021\Plnění rozpočtu k 30. 6. 2021\ZOK\"/>
    </mc:Choice>
  </mc:AlternateContent>
  <bookViews>
    <workbookView xWindow="-120" yWindow="-120" windowWidth="29040" windowHeight="16440"/>
  </bookViews>
  <sheets>
    <sheet name="Bilance OK - příloha č.1" sheetId="14" r:id="rId1"/>
    <sheet name="Příjmy OK - příloha č. 2" sheetId="1" r:id="rId2"/>
    <sheet name="Výdaje OK - příloha č. 2" sheetId="2" r:id="rId3"/>
    <sheet name="Financování OK - příloha č. 2" sheetId="10" r:id="rId4"/>
    <sheet name="Rekapitulace OK - příloha č. 2" sheetId="3" r:id="rId5"/>
    <sheet name="Výdaje (2)" sheetId="6" state="hidden" r:id="rId6"/>
    <sheet name="List2" sheetId="4" state="hidden" r:id="rId7"/>
    <sheet name="8115-zap.zůst.k 31.12.2011" sheetId="5" state="hidden" r:id="rId8"/>
    <sheet name="Rekapitulace (2)" sheetId="8" state="hidden" r:id="rId9"/>
    <sheet name="List4" sheetId="9" state="hidden" r:id="rId10"/>
  </sheets>
  <definedNames>
    <definedName name="_xlnm.Print_Area" localSheetId="0">'Bilance OK - příloha č.1'!$A$1:$O$53</definedName>
    <definedName name="_xlnm.Print_Area" localSheetId="3">'Financování OK - příloha č. 2'!$A$1:$E$17</definedName>
    <definedName name="_xlnm.Print_Area" localSheetId="1">'Příjmy OK - příloha č. 2'!$A$1:$E$18</definedName>
    <definedName name="_xlnm.Print_Area" localSheetId="8">'Rekapitulace (2)'!$A$1:$H$66</definedName>
    <definedName name="_xlnm.Print_Area" localSheetId="4">'Rekapitulace OK - příloha č. 2'!$A$1:$H$39</definedName>
    <definedName name="_xlnm.Print_Area" localSheetId="5">'Výdaje (2)'!$A$1:$F$53</definedName>
    <definedName name="_xlnm.Print_Area" localSheetId="2">'Výdaje OK - příloha č. 2'!$A$1:$F$124</definedName>
  </definedNames>
  <calcPr calcId="162913"/>
</workbook>
</file>

<file path=xl/calcChain.xml><?xml version="1.0" encoding="utf-8"?>
<calcChain xmlns="http://schemas.openxmlformats.org/spreadsheetml/2006/main">
  <c r="B16" i="14" l="1"/>
  <c r="D16" i="14" l="1"/>
  <c r="C16" i="14"/>
  <c r="M40" i="14" l="1"/>
  <c r="N15" i="14"/>
  <c r="M15" i="14"/>
  <c r="M14" i="14" s="1"/>
  <c r="G49" i="14"/>
  <c r="L49" i="14"/>
  <c r="L44" i="14" s="1"/>
  <c r="G44" i="14"/>
  <c r="M49" i="14"/>
  <c r="B44" i="14" l="1"/>
  <c r="B49" i="14"/>
  <c r="C22" i="1"/>
  <c r="B22" i="1"/>
  <c r="L50" i="14" l="1"/>
  <c r="M26" i="14"/>
  <c r="N26" i="14"/>
  <c r="I26" i="14"/>
  <c r="G48" i="14"/>
  <c r="L48" i="14"/>
  <c r="M44" i="14"/>
  <c r="B40" i="14"/>
  <c r="G38" i="14"/>
  <c r="G40" i="14"/>
  <c r="L40" i="14"/>
  <c r="L38" i="14"/>
  <c r="G39" i="14"/>
  <c r="L39" i="14"/>
  <c r="L36" i="14"/>
  <c r="N11" i="14"/>
  <c r="M11" i="14"/>
  <c r="N25" i="14" l="1"/>
  <c r="M25" i="14"/>
  <c r="G35" i="14" l="1"/>
  <c r="G11" i="14" l="1"/>
  <c r="M20" i="14"/>
  <c r="H20" i="14" s="1"/>
  <c r="G20" i="14"/>
  <c r="N20" i="14"/>
  <c r="I20" i="14" s="1"/>
  <c r="I7" i="14"/>
  <c r="D6" i="14"/>
  <c r="D13" i="14"/>
  <c r="N16" i="14"/>
  <c r="C13" i="14"/>
  <c r="B13" i="14"/>
  <c r="B25" i="14"/>
  <c r="L20" i="14"/>
  <c r="H45" i="14" l="1"/>
  <c r="C45" i="14"/>
  <c r="N24" i="14"/>
  <c r="M24" i="14"/>
  <c r="I24" i="14"/>
  <c r="H24" i="14"/>
  <c r="B21" i="14"/>
  <c r="C20" i="14" l="1"/>
  <c r="B23" i="14"/>
  <c r="B22" i="14"/>
  <c r="G25" i="14"/>
  <c r="B29" i="14" l="1"/>
  <c r="C35" i="14"/>
  <c r="D22" i="1"/>
  <c r="D7" i="14"/>
  <c r="C15" i="14"/>
  <c r="B15" i="14"/>
  <c r="B14" i="14"/>
  <c r="I15" i="14"/>
  <c r="M13" i="14"/>
  <c r="N13" i="14"/>
  <c r="H15" i="14"/>
  <c r="H11" i="14"/>
  <c r="H7" i="14"/>
  <c r="C7" i="14"/>
  <c r="B6" i="14"/>
  <c r="D118" i="2" l="1"/>
  <c r="E119" i="2"/>
  <c r="D119" i="2"/>
  <c r="C119" i="2"/>
  <c r="E118" i="2"/>
  <c r="C118" i="2"/>
  <c r="E97" i="2"/>
  <c r="D97" i="2"/>
  <c r="E64" i="2"/>
  <c r="D64" i="2"/>
  <c r="C64" i="2"/>
  <c r="D65" i="2"/>
  <c r="E65" i="2"/>
  <c r="C65" i="2"/>
  <c r="F65" i="2"/>
  <c r="C73" i="2" l="1"/>
  <c r="F71" i="2"/>
  <c r="F70" i="2"/>
  <c r="E69" i="2"/>
  <c r="D69" i="2"/>
  <c r="C69" i="2"/>
  <c r="F58" i="2"/>
  <c r="F40" i="2"/>
  <c r="D30" i="2"/>
  <c r="C30" i="2"/>
  <c r="E30" i="2"/>
  <c r="E26" i="2"/>
  <c r="D26" i="2"/>
  <c r="E21" i="2"/>
  <c r="D21" i="2"/>
  <c r="E11" i="2"/>
  <c r="D11" i="2"/>
  <c r="C11" i="2"/>
  <c r="E7" i="2"/>
  <c r="D7" i="2"/>
  <c r="F8" i="2"/>
  <c r="H14" i="14"/>
  <c r="C14" i="14" s="1"/>
  <c r="F69" i="2" l="1"/>
  <c r="O26" i="14"/>
  <c r="O24" i="14"/>
  <c r="O21" i="14"/>
  <c r="J24" i="14"/>
  <c r="J23" i="14"/>
  <c r="J22" i="14"/>
  <c r="J21" i="14"/>
  <c r="E20" i="14"/>
  <c r="O15" i="14"/>
  <c r="O13" i="14"/>
  <c r="O11" i="14"/>
  <c r="O10" i="14"/>
  <c r="O9" i="14"/>
  <c r="O6" i="14"/>
  <c r="J15" i="14"/>
  <c r="J13" i="14"/>
  <c r="J12" i="14"/>
  <c r="J8" i="14"/>
  <c r="J7" i="14"/>
  <c r="E12" i="14"/>
  <c r="E11" i="14"/>
  <c r="E8" i="14"/>
  <c r="E7" i="14"/>
  <c r="O25" i="14" l="1"/>
  <c r="N14" i="14" l="1"/>
  <c r="H40" i="14"/>
  <c r="I40" i="14" s="1"/>
  <c r="O14" i="14" l="1"/>
  <c r="B50" i="14"/>
  <c r="B38" i="14" l="1"/>
  <c r="B39" i="14"/>
  <c r="L14" i="14" l="1"/>
  <c r="I14" i="14"/>
  <c r="G14" i="14"/>
  <c r="G15" i="14"/>
  <c r="J14" i="14" l="1"/>
  <c r="D14" i="14"/>
  <c r="E14" i="14" s="1"/>
  <c r="N40" i="14"/>
  <c r="M39" i="14"/>
  <c r="N39" i="14" s="1"/>
  <c r="H39" i="14"/>
  <c r="I39" i="14" s="1"/>
  <c r="B45" i="14" l="1"/>
  <c r="M50" i="14"/>
  <c r="N50" i="14" s="1"/>
  <c r="M48" i="14"/>
  <c r="N48" i="14" s="1"/>
  <c r="M47" i="14"/>
  <c r="M46" i="14"/>
  <c r="M45" i="14"/>
  <c r="N45" i="14" s="1"/>
  <c r="N49" i="14"/>
  <c r="H48" i="14"/>
  <c r="I48" i="14" s="1"/>
  <c r="B48" i="14" l="1"/>
  <c r="C50" i="14"/>
  <c r="D50" i="14" s="1"/>
  <c r="C48" i="14"/>
  <c r="D48" i="14" s="1"/>
  <c r="C46" i="14"/>
  <c r="D45" i="14"/>
  <c r="H46" i="14"/>
  <c r="I46" i="14" s="1"/>
  <c r="H47" i="14"/>
  <c r="I47" i="14" s="1"/>
  <c r="I45" i="14"/>
  <c r="M38" i="14"/>
  <c r="M36" i="14"/>
  <c r="M35" i="14"/>
  <c r="H38" i="14"/>
  <c r="I38" i="14" s="1"/>
  <c r="H37" i="14"/>
  <c r="I37" i="14" s="1"/>
  <c r="B36" i="14"/>
  <c r="B35" i="14"/>
  <c r="C47" i="14" l="1"/>
  <c r="C37" i="14"/>
  <c r="C36" i="14"/>
  <c r="D36" i="14" s="1"/>
  <c r="N27" i="14"/>
  <c r="N29" i="14" s="1"/>
  <c r="L27" i="14"/>
  <c r="L29" i="14" s="1"/>
  <c r="G27" i="14"/>
  <c r="G29" i="14" s="1"/>
  <c r="B20" i="14"/>
  <c r="O20" i="14"/>
  <c r="N44" i="14"/>
  <c r="D24" i="14"/>
  <c r="L24" i="14"/>
  <c r="G24" i="14"/>
  <c r="D27" i="14"/>
  <c r="D29" i="14" s="1"/>
  <c r="B27" i="14"/>
  <c r="C24" i="14"/>
  <c r="B24" i="14"/>
  <c r="C23" i="14"/>
  <c r="D23" i="14"/>
  <c r="C22" i="14"/>
  <c r="E22" i="14" s="1"/>
  <c r="D22" i="14"/>
  <c r="D21" i="14"/>
  <c r="C21" i="14"/>
  <c r="E21" i="14" s="1"/>
  <c r="L26" i="14"/>
  <c r="E24" i="14" l="1"/>
  <c r="M27" i="14"/>
  <c r="O27" i="14" s="1"/>
  <c r="E23" i="14"/>
  <c r="D15" i="14"/>
  <c r="C40" i="14" s="1"/>
  <c r="D40" i="14" s="1"/>
  <c r="C39" i="14"/>
  <c r="D39" i="14" s="1"/>
  <c r="C38" i="14"/>
  <c r="D38" i="14" s="1"/>
  <c r="E15" i="14" l="1"/>
  <c r="E13" i="14"/>
  <c r="I6" i="14"/>
  <c r="I16" i="14" s="1"/>
  <c r="H6" i="14"/>
  <c r="G6" i="14"/>
  <c r="G16" i="14" s="1"/>
  <c r="I11" i="14"/>
  <c r="C10" i="14"/>
  <c r="D10" i="14"/>
  <c r="E10" i="14" s="1"/>
  <c r="B10" i="14"/>
  <c r="C9" i="14"/>
  <c r="C6" i="14" s="1"/>
  <c r="D9" i="14"/>
  <c r="E9" i="14" s="1"/>
  <c r="B9" i="14"/>
  <c r="G7" i="14"/>
  <c r="L11" i="14"/>
  <c r="B7" i="14"/>
  <c r="J11" i="14" l="1"/>
  <c r="H36" i="14"/>
  <c r="I36" i="14" s="1"/>
  <c r="H16" i="14"/>
  <c r="J6" i="14"/>
  <c r="E6" i="14"/>
  <c r="H35" i="14"/>
  <c r="I35" i="14" s="1"/>
  <c r="B47" i="14"/>
  <c r="D47" i="14" s="1"/>
  <c r="B37" i="14"/>
  <c r="C44" i="14"/>
  <c r="D44" i="14" s="1"/>
  <c r="G26" i="14"/>
  <c r="M16" i="14"/>
  <c r="M29" i="14" s="1"/>
  <c r="L16" i="14"/>
  <c r="B41" i="14" l="1"/>
  <c r="D37" i="14"/>
  <c r="H50" i="14"/>
  <c r="I50" i="14" s="1"/>
  <c r="I27" i="14"/>
  <c r="I29" i="14" s="1"/>
  <c r="E16" i="14"/>
  <c r="J16" i="14"/>
  <c r="M37" i="14"/>
  <c r="H44" i="14"/>
  <c r="I44" i="14" s="1"/>
  <c r="I25" i="14"/>
  <c r="D25" i="14" s="1"/>
  <c r="B46" i="14"/>
  <c r="D46" i="14" s="1"/>
  <c r="G41" i="14"/>
  <c r="C51" i="14"/>
  <c r="N36" i="14"/>
  <c r="N38" i="14"/>
  <c r="L51" i="14"/>
  <c r="L41" i="14"/>
  <c r="L53" i="14" l="1"/>
  <c r="H51" i="14"/>
  <c r="H49" i="14"/>
  <c r="J20" i="14"/>
  <c r="O16" i="14"/>
  <c r="C41" i="14"/>
  <c r="D35" i="14"/>
  <c r="H25" i="14"/>
  <c r="C25" i="14" s="1"/>
  <c r="B51" i="14"/>
  <c r="D51" i="14" s="1"/>
  <c r="M51" i="14"/>
  <c r="N51" i="14" s="1"/>
  <c r="M41" i="14"/>
  <c r="N35" i="14"/>
  <c r="G51" i="14"/>
  <c r="G53" i="14" s="1"/>
  <c r="M53" i="14" l="1"/>
  <c r="I49" i="14"/>
  <c r="C49" i="14"/>
  <c r="D49" i="14" s="1"/>
  <c r="E25" i="14"/>
  <c r="J25" i="14"/>
  <c r="C53" i="14"/>
  <c r="D41" i="14"/>
  <c r="B53" i="14"/>
  <c r="I51" i="14"/>
  <c r="N41" i="14"/>
  <c r="H41" i="14"/>
  <c r="H53" i="14" l="1"/>
  <c r="I41" i="14"/>
  <c r="C85" i="2"/>
  <c r="C97" i="2" l="1"/>
  <c r="C39" i="2" l="1"/>
  <c r="C26" i="2"/>
  <c r="C25" i="2"/>
  <c r="C21" i="2"/>
  <c r="C7" i="2"/>
  <c r="F79" i="2" l="1"/>
  <c r="F30" i="2" l="1"/>
  <c r="F37" i="2" l="1"/>
  <c r="C108" i="2" l="1"/>
  <c r="D13" i="1" l="1"/>
  <c r="C13" i="1"/>
  <c r="B13" i="1"/>
  <c r="E10" i="10" l="1"/>
  <c r="E108" i="2" l="1"/>
  <c r="E121" i="2" s="1"/>
  <c r="E123" i="2" s="1"/>
  <c r="D108" i="2"/>
  <c r="D73" i="2"/>
  <c r="E73" i="2"/>
  <c r="D16" i="10" l="1"/>
  <c r="C16" i="10"/>
  <c r="F9" i="3" s="1"/>
  <c r="B16" i="10"/>
  <c r="D53" i="2" l="1"/>
  <c r="E34" i="2" l="1"/>
  <c r="D34" i="2"/>
  <c r="C34" i="2"/>
  <c r="C42" i="2" l="1"/>
  <c r="E29" i="2" l="1"/>
  <c r="C29" i="2"/>
  <c r="C14" i="2"/>
  <c r="C6" i="2"/>
  <c r="C10" i="2" l="1"/>
  <c r="C121" i="2" l="1"/>
  <c r="C123" i="2" s="1"/>
  <c r="C104" i="2"/>
  <c r="C100" i="2"/>
  <c r="C96" i="2"/>
  <c r="C92" i="2"/>
  <c r="C89" i="2"/>
  <c r="C84" i="2"/>
  <c r="C81" i="2"/>
  <c r="C77" i="2"/>
  <c r="C57" i="2"/>
  <c r="C53" i="2"/>
  <c r="C52" i="2" s="1"/>
  <c r="C49" i="2"/>
  <c r="C45" i="2"/>
  <c r="C41" i="2"/>
  <c r="C38" i="2"/>
  <c r="C20" i="2"/>
  <c r="C17" i="2"/>
  <c r="C88" i="2" l="1"/>
  <c r="C44" i="2"/>
  <c r="C72" i="2"/>
  <c r="C33" i="2"/>
  <c r="C122" i="2"/>
  <c r="C124" i="2" s="1"/>
  <c r="C107" i="2" l="1"/>
  <c r="C109" i="2" s="1"/>
  <c r="D38" i="2"/>
  <c r="E38" i="2"/>
  <c r="D41" i="2"/>
  <c r="E41" i="2"/>
  <c r="E16" i="10" l="1"/>
  <c r="E13" i="10"/>
  <c r="F119" i="2" l="1"/>
  <c r="F120" i="2"/>
  <c r="F87" i="2"/>
  <c r="D20" i="2" l="1"/>
  <c r="E17" i="2"/>
  <c r="D17" i="2"/>
  <c r="F19" i="2"/>
  <c r="F18" i="2"/>
  <c r="F17" i="2" l="1"/>
  <c r="D84" i="2" l="1"/>
  <c r="E84" i="2"/>
  <c r="F86" i="2"/>
  <c r="D81" i="2"/>
  <c r="E81" i="2"/>
  <c r="E53" i="2"/>
  <c r="F68" i="2"/>
  <c r="F66" i="2"/>
  <c r="F78" i="2"/>
  <c r="D77" i="2"/>
  <c r="E77" i="2"/>
  <c r="D57" i="2"/>
  <c r="E57" i="2"/>
  <c r="F50" i="2"/>
  <c r="D49" i="2"/>
  <c r="E49" i="2"/>
  <c r="D45" i="2"/>
  <c r="E45" i="2"/>
  <c r="D29" i="2"/>
  <c r="D25" i="2"/>
  <c r="E25" i="2"/>
  <c r="E20" i="2"/>
  <c r="D14" i="2"/>
  <c r="E14" i="2"/>
  <c r="D10" i="2"/>
  <c r="E10" i="2"/>
  <c r="D6" i="2"/>
  <c r="D52" i="2" l="1"/>
  <c r="E52" i="2"/>
  <c r="F53" i="2"/>
  <c r="F64" i="2"/>
  <c r="F25" i="2"/>
  <c r="D121" i="2"/>
  <c r="F121" i="2" s="1"/>
  <c r="D123" i="2" l="1"/>
  <c r="F123" i="2" s="1"/>
  <c r="E9" i="1"/>
  <c r="F103" i="2" l="1"/>
  <c r="E14" i="10" l="1"/>
  <c r="E9" i="10"/>
  <c r="E14" i="1"/>
  <c r="E12" i="1"/>
  <c r="E11" i="1"/>
  <c r="E10" i="1"/>
  <c r="F12" i="2" l="1"/>
  <c r="D100" i="2" l="1"/>
  <c r="E100" i="2"/>
  <c r="F76" i="2" l="1"/>
  <c r="F56" i="2"/>
  <c r="F48" i="2" l="1"/>
  <c r="F32" i="2" l="1"/>
  <c r="F28" i="2"/>
  <c r="E9" i="3" l="1"/>
  <c r="G9" i="3" l="1"/>
  <c r="H9" i="3" l="1"/>
  <c r="F95" i="2" l="1"/>
  <c r="D33" i="2" l="1"/>
  <c r="F59" i="2" l="1"/>
  <c r="E92" i="2" l="1"/>
  <c r="D92" i="2" l="1"/>
  <c r="F9" i="2"/>
  <c r="F46" i="2" l="1"/>
  <c r="F83" i="2" l="1"/>
  <c r="D44" i="2" l="1"/>
  <c r="E44" i="2" l="1"/>
  <c r="F49" i="2" l="1"/>
  <c r="D15" i="1" l="1"/>
  <c r="G7" i="3" l="1"/>
  <c r="F90" i="2" l="1"/>
  <c r="F94" i="2" l="1"/>
  <c r="F93" i="2" l="1"/>
  <c r="E89" i="2"/>
  <c r="E88" i="2" s="1"/>
  <c r="D89" i="2"/>
  <c r="F89" i="2" l="1"/>
  <c r="D88" i="2"/>
  <c r="F92" i="2"/>
  <c r="C15" i="1" l="1"/>
  <c r="E15" i="1" s="1"/>
  <c r="E13" i="1"/>
  <c r="F88" i="2"/>
  <c r="F7" i="3" l="1"/>
  <c r="H7" i="3" s="1"/>
  <c r="F84" i="2" l="1"/>
  <c r="E33" i="2" l="1"/>
  <c r="F34" i="2"/>
  <c r="F33" i="2" l="1"/>
  <c r="D72" i="2" l="1"/>
  <c r="F85" i="2" l="1"/>
  <c r="G38" i="5" l="1"/>
  <c r="G37" i="5"/>
  <c r="G34" i="5"/>
  <c r="G33" i="5"/>
  <c r="F9" i="6" l="1"/>
  <c r="I7" i="6"/>
  <c r="H7" i="6"/>
  <c r="F7" i="6"/>
  <c r="F6" i="6"/>
  <c r="F5" i="6"/>
  <c r="E4" i="6"/>
  <c r="D4" i="6"/>
  <c r="C4" i="6"/>
  <c r="F4" i="6" l="1"/>
  <c r="E11" i="6"/>
  <c r="E10" i="6"/>
  <c r="G30" i="5" l="1"/>
  <c r="C44" i="5" s="1"/>
  <c r="C3" i="5" l="1"/>
  <c r="C48" i="5" s="1"/>
  <c r="F45" i="2" l="1"/>
  <c r="F13" i="2"/>
  <c r="F10" i="2"/>
  <c r="F14" i="2"/>
  <c r="E104" i="2"/>
  <c r="D104" i="2"/>
  <c r="F21" i="2"/>
  <c r="B15" i="1"/>
  <c r="F108" i="2"/>
  <c r="F105" i="2"/>
  <c r="F98" i="2"/>
  <c r="F82" i="2"/>
  <c r="F54" i="2"/>
  <c r="F42" i="2"/>
  <c r="F39" i="2"/>
  <c r="F35" i="2"/>
  <c r="F26" i="2"/>
  <c r="F16" i="2"/>
  <c r="F15" i="2"/>
  <c r="F11" i="2"/>
  <c r="E7" i="3" l="1"/>
  <c r="F74" i="2"/>
  <c r="E72" i="2"/>
  <c r="F100" i="2"/>
  <c r="G7" i="8"/>
  <c r="F38" i="2"/>
  <c r="F57" i="2"/>
  <c r="F104" i="2"/>
  <c r="F81" i="2"/>
  <c r="F29" i="2"/>
  <c r="F20" i="2"/>
  <c r="B6" i="4"/>
  <c r="F41" i="2"/>
  <c r="F52" i="2"/>
  <c r="F77" i="2"/>
  <c r="F44" i="2"/>
  <c r="F73" i="2" l="1"/>
  <c r="B4" i="4"/>
  <c r="E41" i="8"/>
  <c r="E7" i="8"/>
  <c r="F72" i="2"/>
  <c r="B35" i="4"/>
  <c r="G41" i="8"/>
  <c r="F7" i="8"/>
  <c r="H7" i="8" s="1"/>
  <c r="B33" i="4"/>
  <c r="E8" i="3" l="1"/>
  <c r="C4" i="4" s="1"/>
  <c r="F41" i="8"/>
  <c r="H41" i="8" s="1"/>
  <c r="E9" i="8" l="1"/>
  <c r="C33" i="4"/>
  <c r="F9" i="8"/>
  <c r="F42" i="8"/>
  <c r="B5" i="4"/>
  <c r="B34" i="4"/>
  <c r="E42" i="8" l="1"/>
  <c r="C34" i="4"/>
  <c r="G42" i="8"/>
  <c r="G9" i="8"/>
  <c r="H42" i="8" l="1"/>
  <c r="G43" i="8"/>
  <c r="C35" i="4"/>
  <c r="H9" i="8"/>
  <c r="G11" i="8"/>
  <c r="F7" i="2"/>
  <c r="E6" i="2"/>
  <c r="D96" i="2"/>
  <c r="D107" i="2" s="1"/>
  <c r="D109" i="2" s="1"/>
  <c r="F8" i="3" s="1"/>
  <c r="C5" i="4" s="1"/>
  <c r="F97" i="2"/>
  <c r="E96" i="2"/>
  <c r="D122" i="2" l="1"/>
  <c r="F118" i="2"/>
  <c r="F96" i="2"/>
  <c r="E107" i="2"/>
  <c r="F107" i="2" s="1"/>
  <c r="F6" i="2"/>
  <c r="E122" i="2"/>
  <c r="D124" i="2" l="1"/>
  <c r="F122" i="2"/>
  <c r="E109" i="2"/>
  <c r="G8" i="3" s="1"/>
  <c r="G10" i="3" s="1"/>
  <c r="E124" i="2"/>
  <c r="F124" i="2" l="1"/>
  <c r="F109" i="2"/>
  <c r="H8" i="3"/>
  <c r="C6" i="4"/>
  <c r="C27" i="14"/>
  <c r="E27" i="14" s="1"/>
  <c r="E26" i="14"/>
  <c r="H26" i="14"/>
  <c r="J26" i="14" s="1"/>
  <c r="H27" i="14"/>
  <c r="J27" i="14" s="1"/>
  <c r="H29" i="14" l="1"/>
  <c r="C29" i="14"/>
</calcChain>
</file>

<file path=xl/comments1.xml><?xml version="1.0" encoding="utf-8"?>
<comments xmlns="http://schemas.openxmlformats.org/spreadsheetml/2006/main">
  <authors>
    <author>Foret Oldřich</author>
  </authors>
  <commentList>
    <comment ref="A7" authorId="0" shapeId="0">
      <text>
        <r>
          <rPr>
            <b/>
            <sz val="9"/>
            <color indexed="81"/>
            <rFont val="Tahoma"/>
            <family val="2"/>
            <charset val="238"/>
          </rPr>
          <t>Pol:
1111
1112
1113
1121
1123
1211</t>
        </r>
      </text>
    </comment>
    <comment ref="A8" authorId="0" shapeId="0">
      <text>
        <r>
          <rPr>
            <b/>
            <sz val="9"/>
            <color indexed="81"/>
            <rFont val="Tahoma"/>
            <family val="2"/>
            <charset val="238"/>
          </rPr>
          <t>Pol:
1361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9" authorId="0" shapeId="0">
      <text>
        <r>
          <rPr>
            <b/>
            <sz val="9"/>
            <color indexed="81"/>
            <rFont val="Tahoma"/>
            <family val="2"/>
            <charset val="238"/>
          </rPr>
          <t>Pol:
1332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  <charset val="238"/>
          </rPr>
          <t>Pol:
1357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Foret Oldřich</author>
  </authors>
  <commentList>
    <comment ref="A39" authorId="0" shapeId="0">
      <text>
        <r>
          <rPr>
            <b/>
            <sz val="9"/>
            <color indexed="81"/>
            <rFont val="Tahoma"/>
            <family val="2"/>
            <charset val="238"/>
          </rPr>
          <t>5331 a 5336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  <charset val="238"/>
          </rPr>
          <t>6351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42" authorId="0" shapeId="0">
      <text>
        <r>
          <rPr>
            <b/>
            <sz val="9"/>
            <color indexed="81"/>
            <rFont val="Tahoma"/>
            <family val="2"/>
            <charset val="238"/>
          </rPr>
          <t>52xx, UZ 33xxx
5333
5339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Foret Oldřich</author>
  </authors>
  <commentList>
    <comment ref="A9" authorId="0" shapeId="0">
      <text>
        <r>
          <rPr>
            <b/>
            <sz val="9"/>
            <color indexed="81"/>
            <rFont val="Tahoma"/>
            <family val="2"/>
            <charset val="238"/>
          </rPr>
          <t>8113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  <charset val="238"/>
          </rPr>
          <t>8115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1" authorId="0" shapeId="0">
      <text>
        <r>
          <rPr>
            <b/>
            <sz val="9"/>
            <color indexed="81"/>
            <rFont val="Tahoma"/>
            <family val="2"/>
            <charset val="238"/>
          </rPr>
          <t>8117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3" authorId="0" shapeId="0">
      <text>
        <r>
          <rPr>
            <b/>
            <sz val="9"/>
            <color indexed="81"/>
            <rFont val="Tahoma"/>
            <family val="2"/>
            <charset val="238"/>
          </rPr>
          <t>8123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4" authorId="0" shapeId="0">
      <text>
        <r>
          <rPr>
            <b/>
            <sz val="9"/>
            <color indexed="81"/>
            <rFont val="Tahoma"/>
            <family val="2"/>
            <charset val="238"/>
          </rPr>
          <t>8124, 8224 - Finka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14" authorId="0" shapeId="0">
      <text>
        <r>
          <rPr>
            <b/>
            <sz val="9"/>
            <color indexed="81"/>
            <rFont val="Tahoma"/>
            <family val="2"/>
            <charset val="238"/>
          </rPr>
          <t>pol.8124,8224,8114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14" authorId="0" shapeId="0">
      <text>
        <r>
          <rPr>
            <b/>
            <sz val="9"/>
            <color indexed="81"/>
            <rFont val="Tahoma"/>
            <family val="2"/>
            <charset val="238"/>
          </rPr>
          <t>pol.8124,8224,8114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15" authorId="0" shapeId="0">
      <text>
        <r>
          <rPr>
            <b/>
            <sz val="9"/>
            <color indexed="81"/>
            <rFont val="Tahoma"/>
            <family val="2"/>
            <charset val="238"/>
          </rPr>
          <t>8901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Balabuch Petr</author>
    <author>Ing. Alice Hradilová</author>
    <author>Hradilová Alice</author>
  </authors>
  <commentList>
    <comment ref="C17" authorId="0" shapeId="0">
      <text>
        <r>
          <rPr>
            <b/>
            <sz val="9"/>
            <color indexed="81"/>
            <rFont val="Tahoma"/>
            <family val="2"/>
            <charset val="238"/>
          </rPr>
          <t>Balabuch Petr:</t>
        </r>
        <r>
          <rPr>
            <sz val="9"/>
            <color indexed="81"/>
            <rFont val="Tahoma"/>
            <family val="2"/>
            <charset val="238"/>
          </rPr>
          <t xml:space="preserve">
8124,8224 - Finka</t>
        </r>
      </text>
    </comment>
    <comment ref="G17" authorId="1" shapeId="0">
      <text>
        <r>
          <rPr>
            <sz val="8"/>
            <color indexed="81"/>
            <rFont val="Tahoma"/>
            <family val="2"/>
            <charset val="238"/>
          </rPr>
          <t xml:space="preserve">pol.8124,8224
</t>
        </r>
      </text>
    </comment>
    <comment ref="G48" authorId="1" shapeId="0">
      <text>
        <r>
          <rPr>
            <sz val="8"/>
            <color indexed="81"/>
            <rFont val="Tahoma"/>
            <family val="2"/>
            <charset val="238"/>
          </rPr>
          <t xml:space="preserve">dle sestavy bil.st.dot.-SFDI
</t>
        </r>
      </text>
    </comment>
    <comment ref="C50" authorId="2" shapeId="0">
      <text>
        <r>
          <rPr>
            <sz val="8"/>
            <color indexed="81"/>
            <rFont val="Tahoma"/>
            <family val="2"/>
            <charset val="238"/>
          </rPr>
          <t xml:space="preserve"> V 775031-
 P 636754=138277 (41142 zúst.KB na 8115 a 97035 zůst.EIB na 8115 + 100 podíl IF)</t>
        </r>
      </text>
    </comment>
    <comment ref="G50" authorId="1" shapeId="0">
      <text>
        <r>
          <rPr>
            <sz val="8"/>
            <color indexed="81"/>
            <rFont val="Tahoma"/>
            <family val="2"/>
            <charset val="238"/>
          </rPr>
          <t xml:space="preserve">EIB-úroky+KB+SFDI
</t>
        </r>
      </text>
    </comment>
    <comment ref="G51" authorId="1" shapeId="0">
      <text>
        <r>
          <rPr>
            <sz val="8"/>
            <color indexed="81"/>
            <rFont val="Tahoma"/>
            <family val="2"/>
            <charset val="238"/>
          </rPr>
          <t xml:space="preserve">spl.8124, 8224 + úroky pol.5141
</t>
        </r>
      </text>
    </comment>
  </commentList>
</comments>
</file>

<file path=xl/comments5.xml><?xml version="1.0" encoding="utf-8"?>
<comments xmlns="http://schemas.openxmlformats.org/spreadsheetml/2006/main">
  <authors>
    <author>Ing. Alice Hradilová</author>
  </authors>
  <commentList>
    <comment ref="J7" authorId="0" shapeId="0">
      <text>
        <r>
          <rPr>
            <sz val="8"/>
            <color indexed="81"/>
            <rFont val="Tahoma"/>
            <family val="2"/>
            <charset val="238"/>
          </rPr>
          <t xml:space="preserve">včetně SFDI
</t>
        </r>
      </text>
    </comment>
  </commentList>
</comments>
</file>

<file path=xl/sharedStrings.xml><?xml version="1.0" encoding="utf-8"?>
<sst xmlns="http://schemas.openxmlformats.org/spreadsheetml/2006/main" count="369" uniqueCount="159">
  <si>
    <t>v tis. Kč</t>
  </si>
  <si>
    <t>Příjmy</t>
  </si>
  <si>
    <t>schválený rozp.</t>
  </si>
  <si>
    <t>upravený rozp.</t>
  </si>
  <si>
    <t>skutečnost</t>
  </si>
  <si>
    <t>%</t>
  </si>
  <si>
    <t>5=4/3</t>
  </si>
  <si>
    <t xml:space="preserve">Příjmy Olomouckého kraje                                (po konsolidaci)                </t>
  </si>
  <si>
    <t>Příjmy celkem</t>
  </si>
  <si>
    <t>Odbor (kancelář)</t>
  </si>
  <si>
    <t>ORJ</t>
  </si>
  <si>
    <t>schválený rozpočet</t>
  </si>
  <si>
    <t>upravený rozpočet</t>
  </si>
  <si>
    <t>Zastupitelé</t>
  </si>
  <si>
    <t xml:space="preserve"> - provozní výdaje</t>
  </si>
  <si>
    <t xml:space="preserve"> - investiční výdaje</t>
  </si>
  <si>
    <t xml:space="preserve"> - účelové neinvestiční dotace</t>
  </si>
  <si>
    <t xml:space="preserve"> - účelové investiční dotace</t>
  </si>
  <si>
    <t>Kancelář ředitele</t>
  </si>
  <si>
    <t>Odbor ekonomický</t>
  </si>
  <si>
    <t>Odbor životního prostředí a zemědělství</t>
  </si>
  <si>
    <t>odbor</t>
  </si>
  <si>
    <t>příspěvkové organizace</t>
  </si>
  <si>
    <t>Odbor sociálních věcí</t>
  </si>
  <si>
    <t>Odbor dopravy a silničního hospodářství</t>
  </si>
  <si>
    <t>Odbor zdravotnictví</t>
  </si>
  <si>
    <t>Útvar interního auditu</t>
  </si>
  <si>
    <t>Evropské programy</t>
  </si>
  <si>
    <t>Fond sociálních potřeb</t>
  </si>
  <si>
    <t xml:space="preserve">Výdaje Olomouckého kraje celkem </t>
  </si>
  <si>
    <t>Výdaje Olomouckého kraje celkem                       (po konsolidaci)</t>
  </si>
  <si>
    <t>a) Příjmy vlastní a výdaje vlastní Olomouckého kraje celkem</t>
  </si>
  <si>
    <t>Příjmy Olomouckého kraje vlastní celkem (po konsolidaci)</t>
  </si>
  <si>
    <t>Výdaje Olomouckého kraje vlastní celkem (po konsolidaci)</t>
  </si>
  <si>
    <t xml:space="preserve">Saldo vlastních příjmů a vlastních výdajů Olomouckého kraje (po konsolidaci) celkem </t>
  </si>
  <si>
    <t>příjmy vlastní</t>
  </si>
  <si>
    <t>výdaje vlastní</t>
  </si>
  <si>
    <t xml:space="preserve">b)Příjmy a výdaje Olomouckého kraje celkem </t>
  </si>
  <si>
    <t>Příjmy Olomouckého kraje po konsolidaci celkem</t>
  </si>
  <si>
    <t>Výdaje Olomouckého kraje po konsolidaci celkem</t>
  </si>
  <si>
    <t>Saldo příjmů a výdajů Olomouckého kraje  po konsolidaci celkem</t>
  </si>
  <si>
    <t>příjmy Ol.kraje celkem</t>
  </si>
  <si>
    <t>výdaje Ol.kraje celkem</t>
  </si>
  <si>
    <t xml:space="preserve"> - konsolidace</t>
  </si>
  <si>
    <t xml:space="preserve">Fond - odběr podzemní vody   </t>
  </si>
  <si>
    <t>RZ</t>
  </si>
  <si>
    <t>ÚZ</t>
  </si>
  <si>
    <t>ORG</t>
  </si>
  <si>
    <t>4/12</t>
  </si>
  <si>
    <t>5/12</t>
  </si>
  <si>
    <t>6/12</t>
  </si>
  <si>
    <t>8/12</t>
  </si>
  <si>
    <t>10/12</t>
  </si>
  <si>
    <t>11/12</t>
  </si>
  <si>
    <t>13/12</t>
  </si>
  <si>
    <t>14/12</t>
  </si>
  <si>
    <t>KB 887</t>
  </si>
  <si>
    <t>EIB 813</t>
  </si>
  <si>
    <t>PH</t>
  </si>
  <si>
    <t>1/12</t>
  </si>
  <si>
    <t>SR</t>
  </si>
  <si>
    <t>18/12</t>
  </si>
  <si>
    <t>19/12</t>
  </si>
  <si>
    <t>20/12</t>
  </si>
  <si>
    <t>22/12</t>
  </si>
  <si>
    <t>44/12</t>
  </si>
  <si>
    <t>47/12</t>
  </si>
  <si>
    <t>48/12</t>
  </si>
  <si>
    <t>77/12</t>
  </si>
  <si>
    <t>91/12</t>
  </si>
  <si>
    <t>92/12</t>
  </si>
  <si>
    <t>leden-únor</t>
  </si>
  <si>
    <t>březen</t>
  </si>
  <si>
    <t>v tis.Kč</t>
  </si>
  <si>
    <t>2. Plnění rozpočtu výdajů Olomouckého kraje k 30.09. 2012</t>
  </si>
  <si>
    <t>květen</t>
  </si>
  <si>
    <t>červenec</t>
  </si>
  <si>
    <t>srpen</t>
  </si>
  <si>
    <t>224/12</t>
  </si>
  <si>
    <t>355/12</t>
  </si>
  <si>
    <t>356/12</t>
  </si>
  <si>
    <t>418/12</t>
  </si>
  <si>
    <t>Rekapitulace příjmů a výdajů k 31. 3. 2013:</t>
  </si>
  <si>
    <r>
      <t>(daňové,nedaňové,kapitálové,souhrnný fin.vztah</t>
    </r>
    <r>
      <rPr>
        <sz val="10"/>
        <color theme="0"/>
        <rFont val="Arial CE"/>
        <charset val="238"/>
      </rPr>
      <t>, přijaté úvěry</t>
    </r>
    <r>
      <rPr>
        <sz val="10"/>
        <rFont val="Arial CE"/>
        <family val="2"/>
        <charset val="238"/>
      </rPr>
      <t>)</t>
    </r>
  </si>
  <si>
    <r>
      <t>(hrazené z vlastních příjmů,</t>
    </r>
    <r>
      <rPr>
        <sz val="10"/>
        <color theme="0"/>
        <rFont val="Arial CE"/>
        <charset val="238"/>
      </rPr>
      <t xml:space="preserve"> z úvěrů,</t>
    </r>
    <r>
      <rPr>
        <sz val="10"/>
        <rFont val="Arial CE"/>
        <charset val="238"/>
      </rPr>
      <t xml:space="preserve"> splátky úvěrů, úroky)</t>
    </r>
  </si>
  <si>
    <t>Odbor podpory řízení příspěvkových organizací</t>
  </si>
  <si>
    <t>Odbor kancelář ředitele</t>
  </si>
  <si>
    <t>Odbor majetkový, právní a správních činností</t>
  </si>
  <si>
    <t>Odbor strategického rozvoje kraje</t>
  </si>
  <si>
    <t>Financování</t>
  </si>
  <si>
    <t>Financování celkem</t>
  </si>
  <si>
    <t>Odbor kontroly</t>
  </si>
  <si>
    <t>Výdaje</t>
  </si>
  <si>
    <t xml:space="preserve">Saldo příjmů a výdajů Olomouckého kraje po konsolidaci celkem </t>
  </si>
  <si>
    <t>Rekapitulace dle druhu výdajů</t>
  </si>
  <si>
    <t>Přehled celkových příjmů Olomouckého kraje, které zahrnují  příjmy běžné (daňové, nedaňové, kapitálové)                     a přijaté účelové dotace ze státního rozpočtu.</t>
  </si>
  <si>
    <t>5 = 4/3</t>
  </si>
  <si>
    <t>6 = 5/4</t>
  </si>
  <si>
    <t>Přehled financování Olomouckého kraje, které zahrnuje zapojení především úvěrů, zapojení přebytku hospodaření a splátky úvěrů.</t>
  </si>
  <si>
    <t>Odbor školství a mládeže</t>
  </si>
  <si>
    <t>Odbor investic</t>
  </si>
  <si>
    <t>Odbor kancelář hejtmana</t>
  </si>
  <si>
    <r>
      <t>1 -</t>
    </r>
    <r>
      <rPr>
        <sz val="11"/>
        <rFont val="Arial CE"/>
        <charset val="238"/>
      </rPr>
      <t xml:space="preserve"> Daňové příjmy</t>
    </r>
  </si>
  <si>
    <r>
      <t>2 -</t>
    </r>
    <r>
      <rPr>
        <sz val="11"/>
        <rFont val="Arial CE"/>
        <charset val="238"/>
      </rPr>
      <t xml:space="preserve"> Nedaňové příjmy</t>
    </r>
  </si>
  <si>
    <t>3 - Kapitálové příjmy</t>
  </si>
  <si>
    <r>
      <t>4 -</t>
    </r>
    <r>
      <rPr>
        <sz val="11"/>
        <rFont val="Arial CE"/>
        <charset val="238"/>
      </rPr>
      <t xml:space="preserve"> Přijaté transfery</t>
    </r>
  </si>
  <si>
    <t>4 - Konsolidace *</t>
  </si>
  <si>
    <t>6 - kapitálové výdaje</t>
  </si>
  <si>
    <t>5 - konsolidace</t>
  </si>
  <si>
    <t>5 - běžné výdaje</t>
  </si>
  <si>
    <t>5 - běžné výdaje, 6 - kapitálové výdaje (dotační programy/tituly)</t>
  </si>
  <si>
    <t>Odbor sportu, kultury a památkové péče</t>
  </si>
  <si>
    <t>5 - Konsolidace *</t>
  </si>
  <si>
    <t>5 - Běžné výdaje</t>
  </si>
  <si>
    <t>6 - Kapitálové výdaje</t>
  </si>
  <si>
    <t>8 - Krátkodobé přijaté půjčené prostředky</t>
  </si>
  <si>
    <t>8 - Změna stavu krátkodobých prostředků na bank. účtech</t>
  </si>
  <si>
    <t>8 - Splátky úvěrů</t>
  </si>
  <si>
    <t>soukromé a obecní školy</t>
  </si>
  <si>
    <t>Odbor informačních technologií</t>
  </si>
  <si>
    <t>8 - Aktivní krátkodobé operace řízení likvidity - příjmy</t>
  </si>
  <si>
    <t>8 - Dlouhodobé přijaté půjčené prostředky</t>
  </si>
  <si>
    <t>8 - Aktivní krátkodobé operace řízení likvidity - výdaje</t>
  </si>
  <si>
    <t>Výdaje Olomouckého kraje celkem</t>
  </si>
  <si>
    <t>Výdaje Olomouckého kraje celkem (po konsolidaci)</t>
  </si>
  <si>
    <t>* Konsolidace je očištění údajů rozpočtu a skutečnosti o interní přesuny peněžních prostředků uvnitř organizace mezi jednotlivými účty.</t>
  </si>
  <si>
    <t>30-79</t>
  </si>
  <si>
    <t>z toho: daňové příjmy</t>
  </si>
  <si>
    <t xml:space="preserve">            správní poplatky</t>
  </si>
  <si>
    <t xml:space="preserve">            příspěvkové organizace</t>
  </si>
  <si>
    <t>8 - Operace z peněžních účtů organizace nemající charakter příjmů a výdajů vládního sektoru</t>
  </si>
  <si>
    <t>OLOMOUCKÝ KRAJ CELKEM</t>
  </si>
  <si>
    <t>Z TOHO VLASTNÍ ROZPOČET</t>
  </si>
  <si>
    <t>Z TOHO FONDY A ÚČELOVÉ DOTACE</t>
  </si>
  <si>
    <t>index %</t>
  </si>
  <si>
    <t>Výdaje celkem</t>
  </si>
  <si>
    <t>Výdaje  celkem</t>
  </si>
  <si>
    <t>9 = 8/7</t>
  </si>
  <si>
    <t>z toho: dotační programy/tituly                 .</t>
  </si>
  <si>
    <t xml:space="preserve">            KIDSOK - dopravní obslužnost</t>
  </si>
  <si>
    <t>13 = 12/11</t>
  </si>
  <si>
    <t>z toho: neinvestiční</t>
  </si>
  <si>
    <t xml:space="preserve">            investiční</t>
  </si>
  <si>
    <t>FINANCOVÁNÍ</t>
  </si>
  <si>
    <t xml:space="preserve">            poplatky za znečišťování ovzduší</t>
  </si>
  <si>
    <t xml:space="preserve">            poplatek za odebrané množství podzemní vody</t>
  </si>
  <si>
    <t xml:space="preserve">            platy a ostatní výdaje</t>
  </si>
  <si>
    <t xml:space="preserve">           běžné výdaje ostatní dopočet</t>
  </si>
  <si>
    <t>1 - Daňové příjmy</t>
  </si>
  <si>
    <t>2 - Nedaňové příjmy</t>
  </si>
  <si>
    <t>4 - Přijaté transfery</t>
  </si>
  <si>
    <t>1. Plnění rozpočtu příjmů Olomouckého kraje k 30. 6. 2021</t>
  </si>
  <si>
    <t>2. Plnění rozpočtu výdajů Olomouckého kraje k 30. 6. 2021</t>
  </si>
  <si>
    <t>Bilance Olomouckého kraje k 30. 6. 2021 (bez konsolidace)</t>
  </si>
  <si>
    <t>3. Financování Olomouckého kraje k 30. 6. 2021</t>
  </si>
  <si>
    <t>Rekapitulace k 30. 6. 2021:</t>
  </si>
  <si>
    <t>skutečnost 06/2021</t>
  </si>
  <si>
    <t>Meziroční srovnání rozpočtu Olomouckého kraje k 30. 6. 2021 a 30.6.2020</t>
  </si>
  <si>
    <t>skutečnost 06/2020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</si>
</sst>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#,##0"/>
    <numFmt numFmtId="166" formatCode="#,##0_ ;[Red]\-#,##0\ "/>
  </numFmts>
  <fonts count="64" x14ac:knownFonts="1">
    <font>
      <sz val="10"/>
      <name val="Arial CE"/>
      <charset val="238"/>
    </font>
    <font>
      <b/>
      <sz val="10"/>
      <name val="Arial CE"/>
      <charset val="238"/>
    </font>
    <font>
      <i/>
      <sz val="10"/>
      <name val="Arial CE"/>
      <charset val="238"/>
    </font>
    <font>
      <b/>
      <i/>
      <sz val="10"/>
      <name val="Arial CE"/>
      <charset val="238"/>
    </font>
    <font>
      <sz val="10"/>
      <name val="Arial CE"/>
      <charset val="238"/>
    </font>
    <font>
      <sz val="8"/>
      <name val="Arial CE"/>
      <charset val="238"/>
    </font>
    <font>
      <b/>
      <sz val="16"/>
      <name val="Arial"/>
      <family val="2"/>
      <charset val="238"/>
    </font>
    <font>
      <sz val="11"/>
      <name val="Arial"/>
      <family val="2"/>
      <charset val="238"/>
    </font>
    <font>
      <b/>
      <sz val="12"/>
      <name val="Arial CE"/>
      <charset val="238"/>
    </font>
    <font>
      <sz val="11"/>
      <name val="Arial CE"/>
      <charset val="238"/>
    </font>
    <font>
      <sz val="11"/>
      <name val="Arial"/>
      <family val="2"/>
      <charset val="238"/>
    </font>
    <font>
      <sz val="12"/>
      <name val="Arial CE"/>
      <family val="2"/>
      <charset val="238"/>
    </font>
    <font>
      <sz val="11"/>
      <name val="Arial CE"/>
      <family val="2"/>
      <charset val="238"/>
    </font>
    <font>
      <b/>
      <sz val="11"/>
      <name val="Arial CE"/>
      <charset val="238"/>
    </font>
    <font>
      <sz val="10"/>
      <color indexed="9"/>
      <name val="Arial CE"/>
      <charset val="238"/>
    </font>
    <font>
      <sz val="11"/>
      <color indexed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8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1"/>
      <name val="Arial"/>
      <family val="2"/>
      <charset val="238"/>
    </font>
    <font>
      <i/>
      <sz val="11"/>
      <name val="Arial CE"/>
      <charset val="238"/>
    </font>
    <font>
      <b/>
      <sz val="10"/>
      <color indexed="49"/>
      <name val="Arial"/>
      <family val="2"/>
      <charset val="238"/>
    </font>
    <font>
      <b/>
      <sz val="10"/>
      <color indexed="14"/>
      <name val="Arial"/>
      <family val="2"/>
      <charset val="238"/>
    </font>
    <font>
      <b/>
      <sz val="10"/>
      <color indexed="41"/>
      <name val="Arial"/>
      <family val="2"/>
      <charset val="238"/>
    </font>
    <font>
      <b/>
      <sz val="13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1"/>
      <color indexed="10"/>
      <name val="Arial"/>
      <family val="2"/>
      <charset val="238"/>
    </font>
    <font>
      <sz val="11"/>
      <color indexed="50"/>
      <name val="Arial"/>
      <family val="2"/>
      <charset val="238"/>
    </font>
    <font>
      <b/>
      <sz val="14"/>
      <name val="Arial CE"/>
      <charset val="238"/>
    </font>
    <font>
      <sz val="14"/>
      <name val="Arial CE"/>
      <charset val="238"/>
    </font>
    <font>
      <sz val="8"/>
      <color indexed="81"/>
      <name val="Tahoma"/>
      <family val="2"/>
      <charset val="238"/>
    </font>
    <font>
      <sz val="11"/>
      <color indexed="11"/>
      <name val="Arial"/>
      <family val="2"/>
      <charset val="238"/>
    </font>
    <font>
      <sz val="10"/>
      <color indexed="11"/>
      <name val="Arial"/>
      <family val="2"/>
      <charset val="238"/>
    </font>
    <font>
      <sz val="10"/>
      <color indexed="11"/>
      <name val="Arial"/>
      <family val="2"/>
      <charset val="238"/>
    </font>
    <font>
      <sz val="11"/>
      <color indexed="11"/>
      <name val="Arial"/>
      <family val="2"/>
      <charset val="238"/>
    </font>
    <font>
      <sz val="11"/>
      <color indexed="10"/>
      <name val="Arial"/>
      <family val="2"/>
      <charset val="238"/>
    </font>
    <font>
      <b/>
      <sz val="16"/>
      <name val="Arial CE"/>
      <charset val="238"/>
    </font>
    <font>
      <sz val="10"/>
      <name val="Arial CE"/>
      <family val="2"/>
      <charset val="238"/>
    </font>
    <font>
      <sz val="11"/>
      <name val="Arial Black"/>
      <family val="2"/>
      <charset val="238"/>
    </font>
    <font>
      <sz val="12"/>
      <name val="Arial Black"/>
      <family val="2"/>
      <charset val="238"/>
    </font>
    <font>
      <sz val="10"/>
      <name val="Arial Black"/>
      <family val="2"/>
      <charset val="238"/>
    </font>
    <font>
      <b/>
      <sz val="11"/>
      <name val="Arial Black"/>
      <family val="2"/>
      <charset val="238"/>
    </font>
    <font>
      <sz val="12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color rgb="FFFF0000"/>
      <name val="Arial CE"/>
      <charset val="238"/>
    </font>
    <font>
      <b/>
      <sz val="8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2"/>
      <name val="Arial Black"/>
      <family val="2"/>
      <charset val="238"/>
    </font>
    <font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0"/>
      <color theme="0"/>
      <name val="Arial CE"/>
      <charset val="238"/>
    </font>
    <font>
      <b/>
      <sz val="11"/>
      <color rgb="FFFF0000"/>
      <name val="Arial"/>
      <family val="2"/>
      <charset val="238"/>
    </font>
    <font>
      <b/>
      <sz val="13"/>
      <color rgb="FFFF0000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3" fontId="0" fillId="0" borderId="0"/>
    <xf numFmtId="0" fontId="16" fillId="0" borderId="0"/>
    <xf numFmtId="0" fontId="16" fillId="0" borderId="0"/>
    <xf numFmtId="9" fontId="4" fillId="0" borderId="0" applyFont="0" applyFill="0" applyBorder="0" applyAlignment="0" applyProtection="0"/>
  </cellStyleXfs>
  <cellXfs count="544">
    <xf numFmtId="3" fontId="0" fillId="0" borderId="0" xfId="0"/>
    <xf numFmtId="3" fontId="0" fillId="0" borderId="0" xfId="0" applyFill="1"/>
    <xf numFmtId="3" fontId="0" fillId="0" borderId="0" xfId="0" applyFill="1" applyAlignment="1">
      <alignment horizontal="right"/>
    </xf>
    <xf numFmtId="3" fontId="5" fillId="0" borderId="1" xfId="0" applyFont="1" applyFill="1" applyBorder="1" applyAlignment="1">
      <alignment horizontal="center" vertical="center"/>
    </xf>
    <xf numFmtId="3" fontId="5" fillId="0" borderId="0" xfId="0" applyFont="1" applyFill="1" applyAlignment="1">
      <alignment horizontal="center"/>
    </xf>
    <xf numFmtId="3" fontId="5" fillId="0" borderId="4" xfId="0" applyFont="1" applyFill="1" applyBorder="1" applyAlignment="1">
      <alignment horizontal="center" vertical="center"/>
    </xf>
    <xf numFmtId="3" fontId="11" fillId="0" borderId="0" xfId="0" applyFont="1" applyFill="1"/>
    <xf numFmtId="1" fontId="12" fillId="0" borderId="7" xfId="0" applyNumberFormat="1" applyFont="1" applyFill="1" applyBorder="1" applyAlignment="1">
      <alignment horizontal="left"/>
    </xf>
    <xf numFmtId="1" fontId="8" fillId="0" borderId="10" xfId="0" applyNumberFormat="1" applyFont="1" applyFill="1" applyBorder="1" applyAlignment="1">
      <alignment horizontal="left" wrapText="1"/>
    </xf>
    <xf numFmtId="3" fontId="14" fillId="0" borderId="0" xfId="0" applyFont="1" applyFill="1"/>
    <xf numFmtId="3" fontId="5" fillId="0" borderId="0" xfId="0" applyFont="1" applyFill="1"/>
    <xf numFmtId="3" fontId="15" fillId="0" borderId="0" xfId="0" applyNumberFormat="1" applyFont="1" applyFill="1" applyBorder="1"/>
    <xf numFmtId="3" fontId="13" fillId="0" borderId="8" xfId="0" applyFont="1" applyFill="1" applyBorder="1"/>
    <xf numFmtId="3" fontId="0" fillId="0" borderId="0" xfId="0" applyFill="1" applyBorder="1"/>
    <xf numFmtId="0" fontId="16" fillId="0" borderId="0" xfId="1" applyFill="1" applyAlignment="1">
      <alignment horizontal="left"/>
    </xf>
    <xf numFmtId="4" fontId="19" fillId="0" borderId="0" xfId="1" applyNumberFormat="1" applyFont="1" applyFill="1"/>
    <xf numFmtId="4" fontId="16" fillId="0" borderId="0" xfId="1" applyNumberFormat="1" applyFill="1"/>
    <xf numFmtId="0" fontId="16" fillId="0" borderId="0" xfId="1" applyFill="1"/>
    <xf numFmtId="0" fontId="16" fillId="0" borderId="0" xfId="1" applyFill="1" applyAlignment="1">
      <alignment horizontal="center"/>
    </xf>
    <xf numFmtId="0" fontId="20" fillId="0" borderId="0" xfId="1" applyFont="1" applyFill="1"/>
    <xf numFmtId="3" fontId="10" fillId="0" borderId="0" xfId="1" applyNumberFormat="1" applyFont="1" applyFill="1"/>
    <xf numFmtId="4" fontId="10" fillId="0" borderId="0" xfId="1" applyNumberFormat="1" applyFont="1" applyFill="1"/>
    <xf numFmtId="0" fontId="10" fillId="0" borderId="0" xfId="1" applyFont="1" applyFill="1"/>
    <xf numFmtId="3" fontId="16" fillId="0" borderId="0" xfId="1" applyNumberFormat="1" applyFont="1" applyFill="1"/>
    <xf numFmtId="3" fontId="16" fillId="0" borderId="0" xfId="1" applyNumberFormat="1" applyFont="1" applyFill="1" applyBorder="1" applyAlignment="1">
      <alignment horizontal="center" vertical="center"/>
    </xf>
    <xf numFmtId="0" fontId="16" fillId="0" borderId="0" xfId="1" applyFont="1" applyFill="1" applyAlignment="1">
      <alignment vertical="center"/>
    </xf>
    <xf numFmtId="4" fontId="16" fillId="0" borderId="0" xfId="1" applyNumberFormat="1" applyFont="1" applyFill="1" applyAlignment="1">
      <alignment vertical="center"/>
    </xf>
    <xf numFmtId="164" fontId="20" fillId="0" borderId="0" xfId="1" applyNumberFormat="1" applyFont="1" applyFill="1" applyBorder="1"/>
    <xf numFmtId="0" fontId="16" fillId="0" borderId="5" xfId="1" applyFont="1" applyFill="1" applyBorder="1"/>
    <xf numFmtId="165" fontId="19" fillId="0" borderId="6" xfId="1" applyNumberFormat="1" applyFont="1" applyFill="1" applyBorder="1" applyAlignment="1">
      <alignment horizontal="center"/>
    </xf>
    <xf numFmtId="3" fontId="7" fillId="0" borderId="6" xfId="1" applyNumberFormat="1" applyFont="1" applyFill="1" applyBorder="1"/>
    <xf numFmtId="164" fontId="7" fillId="0" borderId="0" xfId="1" applyNumberFormat="1" applyFont="1" applyFill="1" applyBorder="1"/>
    <xf numFmtId="0" fontId="16" fillId="0" borderId="0" xfId="1" applyFont="1" applyFill="1"/>
    <xf numFmtId="4" fontId="16" fillId="0" borderId="0" xfId="1" applyNumberFormat="1" applyFont="1" applyFill="1"/>
    <xf numFmtId="0" fontId="4" fillId="0" borderId="7" xfId="1" applyFont="1" applyFill="1" applyBorder="1"/>
    <xf numFmtId="0" fontId="21" fillId="0" borderId="0" xfId="1" applyFont="1" applyFill="1"/>
    <xf numFmtId="4" fontId="21" fillId="0" borderId="0" xfId="1" applyNumberFormat="1" applyFont="1" applyFill="1"/>
    <xf numFmtId="165" fontId="21" fillId="0" borderId="6" xfId="1" applyNumberFormat="1" applyFont="1" applyFill="1" applyBorder="1" applyAlignment="1">
      <alignment horizontal="center"/>
    </xf>
    <xf numFmtId="0" fontId="4" fillId="0" borderId="8" xfId="1" applyFont="1" applyFill="1" applyBorder="1"/>
    <xf numFmtId="0" fontId="4" fillId="0" borderId="0" xfId="1" applyFont="1" applyFill="1" applyBorder="1"/>
    <xf numFmtId="165" fontId="16" fillId="0" borderId="0" xfId="1" applyNumberFormat="1" applyFont="1" applyFill="1" applyBorder="1" applyAlignment="1">
      <alignment horizontal="center"/>
    </xf>
    <xf numFmtId="3" fontId="19" fillId="0" borderId="0" xfId="1" applyNumberFormat="1" applyFont="1" applyFill="1" applyBorder="1"/>
    <xf numFmtId="164" fontId="16" fillId="0" borderId="0" xfId="1" applyNumberFormat="1" applyFont="1" applyFill="1" applyBorder="1"/>
    <xf numFmtId="3" fontId="21" fillId="0" borderId="0" xfId="1" applyNumberFormat="1" applyFont="1" applyFill="1" applyBorder="1"/>
    <xf numFmtId="4" fontId="21" fillId="0" borderId="0" xfId="1" applyNumberFormat="1" applyFont="1" applyFill="1" applyBorder="1"/>
    <xf numFmtId="3" fontId="22" fillId="0" borderId="0" xfId="1" applyNumberFormat="1" applyFont="1" applyFill="1" applyBorder="1"/>
    <xf numFmtId="4" fontId="22" fillId="0" borderId="0" xfId="1" applyNumberFormat="1" applyFont="1" applyFill="1" applyBorder="1"/>
    <xf numFmtId="3" fontId="23" fillId="0" borderId="0" xfId="1" applyNumberFormat="1" applyFont="1" applyFill="1" applyBorder="1"/>
    <xf numFmtId="0" fontId="24" fillId="0" borderId="0" xfId="1" applyFont="1" applyFill="1"/>
    <xf numFmtId="0" fontId="19" fillId="0" borderId="5" xfId="1" applyFont="1" applyFill="1" applyBorder="1"/>
    <xf numFmtId="0" fontId="4" fillId="0" borderId="5" xfId="1" applyFont="1" applyFill="1" applyBorder="1"/>
    <xf numFmtId="0" fontId="26" fillId="0" borderId="5" xfId="1" applyFont="1" applyFill="1" applyBorder="1"/>
    <xf numFmtId="4" fontId="19" fillId="2" borderId="0" xfId="1" applyNumberFormat="1" applyFont="1" applyFill="1"/>
    <xf numFmtId="0" fontId="16" fillId="0" borderId="0" xfId="1" applyFont="1" applyFill="1" applyBorder="1"/>
    <xf numFmtId="4" fontId="16" fillId="0" borderId="0" xfId="1" applyNumberFormat="1" applyFont="1" applyFill="1" applyBorder="1"/>
    <xf numFmtId="4" fontId="7" fillId="0" borderId="0" xfId="1" applyNumberFormat="1" applyFont="1" applyFill="1" applyBorder="1"/>
    <xf numFmtId="3" fontId="16" fillId="0" borderId="0" xfId="1" applyNumberFormat="1" applyFill="1"/>
    <xf numFmtId="3" fontId="33" fillId="0" borderId="0" xfId="1" applyNumberFormat="1" applyFont="1" applyFill="1"/>
    <xf numFmtId="1" fontId="9" fillId="0" borderId="0" xfId="1" applyNumberFormat="1" applyFont="1" applyFill="1" applyBorder="1" applyAlignment="1">
      <alignment horizontal="left"/>
    </xf>
    <xf numFmtId="0" fontId="37" fillId="0" borderId="0" xfId="1" applyFont="1" applyFill="1" applyBorder="1"/>
    <xf numFmtId="3" fontId="13" fillId="0" borderId="0" xfId="1" applyNumberFormat="1" applyFont="1" applyFill="1" applyBorder="1"/>
    <xf numFmtId="0" fontId="13" fillId="0" borderId="0" xfId="1" applyFont="1" applyFill="1" applyBorder="1" applyAlignment="1">
      <alignment horizontal="left"/>
    </xf>
    <xf numFmtId="4" fontId="13" fillId="0" borderId="0" xfId="1" applyNumberFormat="1" applyFont="1" applyFill="1" applyBorder="1"/>
    <xf numFmtId="0" fontId="38" fillId="0" borderId="0" xfId="1" applyFont="1" applyFill="1" applyBorder="1" applyAlignment="1">
      <alignment horizontal="right"/>
    </xf>
    <xf numFmtId="1" fontId="4" fillId="0" borderId="0" xfId="1" applyNumberFormat="1" applyFont="1" applyFill="1" applyBorder="1" applyAlignment="1">
      <alignment horizontal="justify"/>
    </xf>
    <xf numFmtId="4" fontId="4" fillId="0" borderId="0" xfId="1" applyNumberFormat="1" applyFont="1" applyFill="1" applyBorder="1" applyAlignment="1">
      <alignment horizontal="justify"/>
    </xf>
    <xf numFmtId="4" fontId="16" fillId="0" borderId="0" xfId="1" applyNumberFormat="1" applyFont="1" applyFill="1" applyBorder="1" applyAlignment="1">
      <alignment horizontal="center" vertical="center" wrapText="1"/>
    </xf>
    <xf numFmtId="4" fontId="20" fillId="0" borderId="0" xfId="1" applyNumberFormat="1" applyFont="1" applyFill="1" applyBorder="1"/>
    <xf numFmtId="4" fontId="10" fillId="0" borderId="0" xfId="1" applyNumberFormat="1" applyFont="1" applyFill="1" applyBorder="1"/>
    <xf numFmtId="4" fontId="24" fillId="0" borderId="0" xfId="1" applyNumberFormat="1" applyFont="1" applyFill="1" applyBorder="1"/>
    <xf numFmtId="4" fontId="19" fillId="2" borderId="0" xfId="1" applyNumberFormat="1" applyFont="1" applyFill="1" applyBorder="1"/>
    <xf numFmtId="4" fontId="32" fillId="0" borderId="0" xfId="1" applyNumberFormat="1" applyFont="1" applyFill="1" applyBorder="1"/>
    <xf numFmtId="4" fontId="31" fillId="0" borderId="0" xfId="1" applyNumberFormat="1" applyFont="1" applyFill="1" applyBorder="1" applyAlignment="1">
      <alignment shrinkToFit="1"/>
    </xf>
    <xf numFmtId="4" fontId="19" fillId="2" borderId="0" xfId="1" applyNumberFormat="1" applyFont="1" applyFill="1" applyBorder="1" applyAlignment="1">
      <alignment vertical="center"/>
    </xf>
    <xf numFmtId="4" fontId="20" fillId="2" borderId="0" xfId="1" applyNumberFormat="1" applyFont="1" applyFill="1" applyBorder="1"/>
    <xf numFmtId="4" fontId="31" fillId="2" borderId="0" xfId="1" applyNumberFormat="1" applyFont="1" applyFill="1" applyBorder="1" applyAlignment="1">
      <alignment shrinkToFit="1"/>
    </xf>
    <xf numFmtId="0" fontId="24" fillId="0" borderId="0" xfId="1" applyFont="1" applyFill="1" applyBorder="1"/>
    <xf numFmtId="0" fontId="21" fillId="0" borderId="0" xfId="1" applyFont="1" applyFill="1" applyBorder="1"/>
    <xf numFmtId="0" fontId="16" fillId="0" borderId="0" xfId="1" applyFill="1" applyBorder="1"/>
    <xf numFmtId="4" fontId="16" fillId="0" borderId="0" xfId="1" applyNumberFormat="1" applyFill="1" applyBorder="1"/>
    <xf numFmtId="3" fontId="9" fillId="0" borderId="20" xfId="0" applyFont="1" applyBorder="1" applyAlignment="1">
      <alignment horizontal="right"/>
    </xf>
    <xf numFmtId="3" fontId="9" fillId="0" borderId="21" xfId="0" applyFont="1" applyBorder="1" applyAlignment="1">
      <alignment horizontal="right"/>
    </xf>
    <xf numFmtId="3" fontId="13" fillId="0" borderId="23" xfId="0" applyFont="1" applyBorder="1" applyAlignment="1">
      <alignment horizontal="right"/>
    </xf>
    <xf numFmtId="3" fontId="13" fillId="0" borderId="24" xfId="0" applyFont="1" applyBorder="1" applyAlignment="1">
      <alignment horizontal="right"/>
    </xf>
    <xf numFmtId="3" fontId="31" fillId="0" borderId="11" xfId="1" applyNumberFormat="1" applyFont="1" applyFill="1" applyBorder="1"/>
    <xf numFmtId="3" fontId="31" fillId="0" borderId="26" xfId="1" applyNumberFormat="1" applyFont="1" applyFill="1" applyBorder="1"/>
    <xf numFmtId="3" fontId="20" fillId="0" borderId="27" xfId="1" applyNumberFormat="1" applyFont="1" applyFill="1" applyBorder="1"/>
    <xf numFmtId="3" fontId="41" fillId="0" borderId="0" xfId="1" applyNumberFormat="1" applyFont="1" applyFill="1" applyBorder="1"/>
    <xf numFmtId="3" fontId="7" fillId="0" borderId="0" xfId="1" applyNumberFormat="1" applyFont="1" applyFill="1" applyBorder="1"/>
    <xf numFmtId="3" fontId="42" fillId="0" borderId="0" xfId="1" applyNumberFormat="1" applyFont="1" applyFill="1"/>
    <xf numFmtId="1" fontId="45" fillId="0" borderId="0" xfId="0" applyNumberFormat="1" applyFont="1" applyFill="1" applyAlignment="1">
      <alignment horizontal="left"/>
    </xf>
    <xf numFmtId="3" fontId="4" fillId="0" borderId="0" xfId="0" applyFont="1" applyFill="1"/>
    <xf numFmtId="3" fontId="4" fillId="0" borderId="0" xfId="0" applyFont="1" applyFill="1" applyAlignment="1">
      <alignment horizontal="right"/>
    </xf>
    <xf numFmtId="3" fontId="4" fillId="0" borderId="0" xfId="0" applyFont="1"/>
    <xf numFmtId="1" fontId="8" fillId="0" borderId="0" xfId="0" applyNumberFormat="1" applyFont="1" applyFill="1" applyAlignment="1">
      <alignment horizontal="left"/>
    </xf>
    <xf numFmtId="1" fontId="13" fillId="0" borderId="0" xfId="0" applyNumberFormat="1" applyFont="1" applyFill="1" applyAlignment="1">
      <alignment horizontal="left"/>
    </xf>
    <xf numFmtId="3" fontId="11" fillId="0" borderId="0" xfId="0" applyFont="1"/>
    <xf numFmtId="3" fontId="13" fillId="3" borderId="10" xfId="0" applyFont="1" applyFill="1" applyBorder="1" applyAlignment="1"/>
    <xf numFmtId="3" fontId="3" fillId="3" borderId="19" xfId="0" applyFont="1" applyFill="1" applyBorder="1" applyAlignment="1"/>
    <xf numFmtId="3" fontId="3" fillId="3" borderId="19" xfId="0" applyFont="1" applyFill="1" applyBorder="1" applyAlignment="1">
      <alignment horizontal="right"/>
    </xf>
    <xf numFmtId="3" fontId="2" fillId="4" borderId="19" xfId="0" applyFont="1" applyFill="1" applyBorder="1" applyAlignment="1">
      <alignment horizontal="right"/>
    </xf>
    <xf numFmtId="3" fontId="3" fillId="3" borderId="30" xfId="0" applyFont="1" applyFill="1" applyBorder="1" applyAlignment="1">
      <alignment horizontal="right"/>
    </xf>
    <xf numFmtId="3" fontId="0" fillId="0" borderId="28" xfId="0" applyBorder="1"/>
    <xf numFmtId="1" fontId="13" fillId="0" borderId="0" xfId="0" applyNumberFormat="1" applyFont="1" applyAlignment="1">
      <alignment horizontal="left"/>
    </xf>
    <xf numFmtId="3" fontId="4" fillId="0" borderId="0" xfId="0" applyFont="1" applyAlignment="1">
      <alignment horizontal="right"/>
    </xf>
    <xf numFmtId="1" fontId="47" fillId="5" borderId="31" xfId="0" applyNumberFormat="1" applyFont="1" applyFill="1" applyBorder="1" applyAlignment="1">
      <alignment horizontal="left"/>
    </xf>
    <xf numFmtId="3" fontId="48" fillId="5" borderId="32" xfId="0" applyFont="1" applyFill="1" applyBorder="1"/>
    <xf numFmtId="3" fontId="49" fillId="5" borderId="32" xfId="0" applyFont="1" applyFill="1" applyBorder="1"/>
    <xf numFmtId="1" fontId="47" fillId="5" borderId="7" xfId="0" applyNumberFormat="1" applyFont="1" applyFill="1" applyBorder="1" applyAlignment="1">
      <alignment horizontal="left"/>
    </xf>
    <xf numFmtId="3" fontId="48" fillId="5" borderId="0" xfId="0" applyFont="1" applyFill="1" applyBorder="1"/>
    <xf numFmtId="3" fontId="49" fillId="5" borderId="0" xfId="0" applyFont="1" applyFill="1" applyBorder="1"/>
    <xf numFmtId="4" fontId="51" fillId="0" borderId="0" xfId="1" applyNumberFormat="1" applyFont="1" applyFill="1" applyBorder="1"/>
    <xf numFmtId="165" fontId="16" fillId="0" borderId="0" xfId="1" applyNumberFormat="1" applyFont="1" applyFill="1" applyAlignment="1">
      <alignment horizontal="center"/>
    </xf>
    <xf numFmtId="165" fontId="21" fillId="0" borderId="27" xfId="1" applyNumberFormat="1" applyFont="1" applyFill="1" applyBorder="1" applyAlignment="1">
      <alignment horizontal="center"/>
    </xf>
    <xf numFmtId="1" fontId="13" fillId="6" borderId="31" xfId="0" applyNumberFormat="1" applyFont="1" applyFill="1" applyBorder="1" applyAlignment="1">
      <alignment horizontal="left"/>
    </xf>
    <xf numFmtId="3" fontId="4" fillId="6" borderId="32" xfId="0" applyFont="1" applyFill="1" applyBorder="1"/>
    <xf numFmtId="3" fontId="8" fillId="5" borderId="33" xfId="0" applyNumberFormat="1" applyFont="1" applyFill="1" applyBorder="1" applyAlignment="1">
      <alignment horizontal="right"/>
    </xf>
    <xf numFmtId="1" fontId="46" fillId="6" borderId="7" xfId="0" applyNumberFormat="1" applyFont="1" applyFill="1" applyBorder="1" applyAlignment="1">
      <alignment horizontal="left"/>
    </xf>
    <xf numFmtId="3" fontId="4" fillId="6" borderId="0" xfId="0" applyFont="1" applyFill="1" applyBorder="1"/>
    <xf numFmtId="3" fontId="4" fillId="6" borderId="34" xfId="0" applyFont="1" applyFill="1" applyBorder="1" applyAlignment="1">
      <alignment horizontal="right"/>
    </xf>
    <xf numFmtId="3" fontId="13" fillId="6" borderId="7" xfId="0" applyFont="1" applyFill="1" applyBorder="1" applyAlignment="1"/>
    <xf numFmtId="3" fontId="1" fillId="6" borderId="0" xfId="0" applyFont="1" applyFill="1" applyBorder="1" applyAlignment="1"/>
    <xf numFmtId="3" fontId="8" fillId="5" borderId="34" xfId="0" applyNumberFormat="1" applyFont="1" applyFill="1" applyBorder="1" applyAlignment="1">
      <alignment horizontal="right"/>
    </xf>
    <xf numFmtId="3" fontId="1" fillId="6" borderId="34" xfId="0" applyFont="1" applyFill="1" applyBorder="1" applyAlignment="1">
      <alignment horizontal="right"/>
    </xf>
    <xf numFmtId="3" fontId="7" fillId="0" borderId="0" xfId="1" applyNumberFormat="1" applyFont="1" applyFill="1"/>
    <xf numFmtId="164" fontId="35" fillId="0" borderId="0" xfId="1" applyNumberFormat="1" applyFont="1" applyFill="1" applyBorder="1"/>
    <xf numFmtId="0" fontId="32" fillId="0" borderId="10" xfId="1" applyFont="1" applyFill="1" applyBorder="1" applyAlignment="1">
      <alignment wrapText="1"/>
    </xf>
    <xf numFmtId="165" fontId="31" fillId="0" borderId="35" xfId="1" applyNumberFormat="1" applyFont="1" applyFill="1" applyBorder="1" applyAlignment="1">
      <alignment horizontal="center"/>
    </xf>
    <xf numFmtId="3" fontId="21" fillId="0" borderId="0" xfId="1" applyNumberFormat="1" applyFont="1" applyFill="1" applyBorder="1" applyProtection="1">
      <protection locked="0"/>
    </xf>
    <xf numFmtId="0" fontId="0" fillId="0" borderId="0" xfId="0" applyNumberFormat="1"/>
    <xf numFmtId="4" fontId="0" fillId="0" borderId="0" xfId="0" applyNumberFormat="1"/>
    <xf numFmtId="49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4" fontId="1" fillId="0" borderId="0" xfId="0" applyNumberFormat="1" applyFont="1"/>
    <xf numFmtId="3" fontId="1" fillId="0" borderId="0" xfId="0" applyFont="1" applyAlignment="1">
      <alignment horizontal="right"/>
    </xf>
    <xf numFmtId="1" fontId="1" fillId="0" borderId="0" xfId="0" applyNumberFormat="1" applyFont="1" applyAlignment="1">
      <alignment horizontal="right"/>
    </xf>
    <xf numFmtId="1" fontId="1" fillId="0" borderId="0" xfId="0" applyNumberFormat="1" applyFont="1"/>
    <xf numFmtId="4" fontId="54" fillId="0" borderId="0" xfId="0" applyNumberFormat="1" applyFont="1"/>
    <xf numFmtId="4" fontId="0" fillId="0" borderId="0" xfId="0" applyNumberFormat="1" applyFont="1"/>
    <xf numFmtId="4" fontId="0" fillId="0" borderId="0" xfId="0" applyNumberFormat="1" applyFont="1" applyAlignment="1">
      <alignment horizontal="right" vertical="top"/>
    </xf>
    <xf numFmtId="3" fontId="4" fillId="6" borderId="29" xfId="0" applyFont="1" applyFill="1" applyBorder="1"/>
    <xf numFmtId="3" fontId="4" fillId="6" borderId="14" xfId="0" applyFont="1" applyFill="1" applyBorder="1"/>
    <xf numFmtId="3" fontId="1" fillId="6" borderId="14" xfId="0" applyFont="1" applyFill="1" applyBorder="1" applyAlignment="1"/>
    <xf numFmtId="3" fontId="1" fillId="6" borderId="41" xfId="0" applyFont="1" applyFill="1" applyBorder="1" applyAlignment="1"/>
    <xf numFmtId="3" fontId="8" fillId="6" borderId="27" xfId="0" applyNumberFormat="1" applyFont="1" applyFill="1" applyBorder="1" applyAlignment="1">
      <alignment horizontal="right"/>
    </xf>
    <xf numFmtId="3" fontId="4" fillId="6" borderId="6" xfId="0" applyFont="1" applyFill="1" applyBorder="1" applyAlignment="1">
      <alignment horizontal="right"/>
    </xf>
    <xf numFmtId="3" fontId="8" fillId="6" borderId="6" xfId="0" applyFont="1" applyFill="1" applyBorder="1" applyAlignment="1">
      <alignment horizontal="right"/>
    </xf>
    <xf numFmtId="3" fontId="1" fillId="6" borderId="9" xfId="0" applyFont="1" applyFill="1" applyBorder="1" applyAlignment="1">
      <alignment horizontal="right"/>
    </xf>
    <xf numFmtId="3" fontId="4" fillId="6" borderId="9" xfId="0" applyFont="1" applyFill="1" applyBorder="1" applyAlignment="1">
      <alignment horizontal="right"/>
    </xf>
    <xf numFmtId="3" fontId="4" fillId="5" borderId="6" xfId="0" applyFont="1" applyFill="1" applyBorder="1" applyAlignment="1">
      <alignment horizontal="right"/>
    </xf>
    <xf numFmtId="3" fontId="4" fillId="5" borderId="9" xfId="0" applyFont="1" applyFill="1" applyBorder="1" applyAlignment="1">
      <alignment horizontal="right"/>
    </xf>
    <xf numFmtId="3" fontId="5" fillId="0" borderId="6" xfId="0" applyFont="1" applyFill="1" applyBorder="1" applyAlignment="1">
      <alignment horizontal="center"/>
    </xf>
    <xf numFmtId="3" fontId="5" fillId="0" borderId="34" xfId="0" applyFont="1" applyFill="1" applyBorder="1" applyAlignment="1">
      <alignment horizontal="center"/>
    </xf>
    <xf numFmtId="3" fontId="8" fillId="4" borderId="11" xfId="0" applyFont="1" applyFill="1" applyBorder="1" applyAlignment="1">
      <alignment horizontal="right"/>
    </xf>
    <xf numFmtId="3" fontId="48" fillId="5" borderId="44" xfId="0" applyFont="1" applyFill="1" applyBorder="1" applyAlignment="1">
      <alignment horizontal="right"/>
    </xf>
    <xf numFmtId="3" fontId="48" fillId="5" borderId="45" xfId="0" applyFont="1" applyFill="1" applyBorder="1" applyAlignment="1">
      <alignment horizontal="right"/>
    </xf>
    <xf numFmtId="3" fontId="50" fillId="5" borderId="21" xfId="0" applyFont="1" applyFill="1" applyBorder="1" applyAlignment="1">
      <alignment horizontal="right"/>
    </xf>
    <xf numFmtId="3" fontId="50" fillId="5" borderId="20" xfId="0" applyFont="1" applyFill="1" applyBorder="1" applyAlignment="1">
      <alignment horizontal="right"/>
    </xf>
    <xf numFmtId="0" fontId="17" fillId="0" borderId="3" xfId="1" applyFont="1" applyFill="1" applyBorder="1" applyAlignment="1">
      <alignment horizontal="center" vertical="center"/>
    </xf>
    <xf numFmtId="165" fontId="17" fillId="0" borderId="1" xfId="1" applyNumberFormat="1" applyFont="1" applyFill="1" applyBorder="1" applyAlignment="1">
      <alignment horizontal="center" vertical="center"/>
    </xf>
    <xf numFmtId="3" fontId="17" fillId="0" borderId="1" xfId="1" applyNumberFormat="1" applyFont="1" applyFill="1" applyBorder="1" applyAlignment="1">
      <alignment horizontal="center" vertical="center" wrapText="1"/>
    </xf>
    <xf numFmtId="3" fontId="17" fillId="0" borderId="2" xfId="1" applyNumberFormat="1" applyFont="1" applyFill="1" applyBorder="1" applyAlignment="1">
      <alignment horizontal="center" vertical="center"/>
    </xf>
    <xf numFmtId="1" fontId="55" fillId="0" borderId="40" xfId="0" applyNumberFormat="1" applyFont="1" applyFill="1" applyBorder="1" applyAlignment="1">
      <alignment horizontal="left"/>
    </xf>
    <xf numFmtId="3" fontId="5" fillId="0" borderId="43" xfId="0" applyFont="1" applyFill="1" applyBorder="1"/>
    <xf numFmtId="3" fontId="5" fillId="0" borderId="39" xfId="0" applyFont="1" applyFill="1" applyBorder="1"/>
    <xf numFmtId="3" fontId="0" fillId="0" borderId="0" xfId="0" applyFont="1" applyFill="1" applyAlignment="1">
      <alignment horizontal="center"/>
    </xf>
    <xf numFmtId="164" fontId="52" fillId="0" borderId="0" xfId="1" applyNumberFormat="1" applyFont="1" applyFill="1" applyBorder="1"/>
    <xf numFmtId="3" fontId="53" fillId="0" borderId="0" xfId="1" applyNumberFormat="1" applyFont="1" applyFill="1" applyBorder="1"/>
    <xf numFmtId="3" fontId="52" fillId="0" borderId="0" xfId="1" applyNumberFormat="1" applyFont="1" applyFill="1" applyBorder="1"/>
    <xf numFmtId="3" fontId="0" fillId="7" borderId="0" xfId="0" applyFill="1"/>
    <xf numFmtId="3" fontId="14" fillId="7" borderId="0" xfId="0" applyFont="1" applyFill="1"/>
    <xf numFmtId="3" fontId="13" fillId="3" borderId="35" xfId="0" applyFont="1" applyFill="1" applyBorder="1" applyAlignment="1"/>
    <xf numFmtId="3" fontId="58" fillId="4" borderId="11" xfId="0" applyFont="1" applyFill="1" applyBorder="1" applyAlignment="1">
      <alignment horizontal="right"/>
    </xf>
    <xf numFmtId="3" fontId="50" fillId="3" borderId="10" xfId="0" applyFont="1" applyFill="1" applyBorder="1" applyAlignment="1"/>
    <xf numFmtId="3" fontId="14" fillId="7" borderId="0" xfId="0" applyFont="1" applyFill="1" applyAlignment="1">
      <alignment horizontal="right"/>
    </xf>
    <xf numFmtId="4" fontId="59" fillId="2" borderId="0" xfId="1" applyNumberFormat="1" applyFont="1" applyFill="1" applyBorder="1" applyAlignment="1">
      <alignment vertical="center"/>
    </xf>
    <xf numFmtId="0" fontId="16" fillId="0" borderId="0" xfId="1" applyFill="1" applyAlignment="1">
      <alignment horizontal="left"/>
    </xf>
    <xf numFmtId="0" fontId="10" fillId="0" borderId="0" xfId="1" applyFont="1" applyFill="1" applyBorder="1"/>
    <xf numFmtId="3" fontId="10" fillId="0" borderId="0" xfId="1" applyNumberFormat="1" applyFont="1" applyFill="1" applyBorder="1"/>
    <xf numFmtId="3" fontId="33" fillId="0" borderId="0" xfId="1" applyNumberFormat="1" applyFont="1" applyFill="1" applyBorder="1"/>
    <xf numFmtId="3" fontId="16" fillId="0" borderId="0" xfId="1" applyNumberFormat="1" applyFill="1" applyBorder="1"/>
    <xf numFmtId="3" fontId="20" fillId="0" borderId="0" xfId="1" applyNumberFormat="1" applyFont="1" applyFill="1" applyBorder="1"/>
    <xf numFmtId="3" fontId="34" fillId="0" borderId="0" xfId="1" applyNumberFormat="1" applyFont="1" applyFill="1" applyBorder="1"/>
    <xf numFmtId="3" fontId="35" fillId="0" borderId="0" xfId="1" applyNumberFormat="1" applyFont="1" applyFill="1" applyBorder="1"/>
    <xf numFmtId="4" fontId="35" fillId="0" borderId="0" xfId="1" applyNumberFormat="1" applyFont="1" applyFill="1" applyBorder="1"/>
    <xf numFmtId="3" fontId="36" fillId="0" borderId="0" xfId="1" applyNumberFormat="1" applyFont="1" applyFill="1" applyBorder="1"/>
    <xf numFmtId="4" fontId="36" fillId="0" borderId="0" xfId="1" applyNumberFormat="1" applyFont="1" applyFill="1" applyBorder="1"/>
    <xf numFmtId="3" fontId="16" fillId="0" borderId="0" xfId="1" applyNumberFormat="1" applyFont="1" applyFill="1" applyBorder="1" applyAlignment="1">
      <alignment horizontal="center"/>
    </xf>
    <xf numFmtId="0" fontId="16" fillId="0" borderId="0" xfId="1" applyFont="1" applyFill="1" applyBorder="1" applyAlignment="1">
      <alignment vertical="center"/>
    </xf>
    <xf numFmtId="4" fontId="16" fillId="0" borderId="0" xfId="1" applyNumberFormat="1" applyFont="1" applyFill="1" applyBorder="1" applyAlignment="1">
      <alignment vertical="center"/>
    </xf>
    <xf numFmtId="3" fontId="42" fillId="0" borderId="0" xfId="1" applyNumberFormat="1" applyFont="1" applyFill="1" applyBorder="1"/>
    <xf numFmtId="0" fontId="16" fillId="0" borderId="0" xfId="1" applyFont="1" applyFill="1" applyBorder="1" applyAlignment="1">
      <alignment horizontal="right"/>
    </xf>
    <xf numFmtId="3" fontId="43" fillId="0" borderId="0" xfId="1" applyNumberFormat="1" applyFont="1" applyFill="1" applyBorder="1"/>
    <xf numFmtId="4" fontId="19" fillId="0" borderId="0" xfId="1" applyNumberFormat="1" applyFont="1" applyFill="1" applyBorder="1"/>
    <xf numFmtId="0" fontId="30" fillId="0" borderId="0" xfId="1" applyFont="1" applyFill="1" applyBorder="1" applyAlignment="1">
      <alignment vertical="top"/>
    </xf>
    <xf numFmtId="3" fontId="32" fillId="0" borderId="0" xfId="1" applyNumberFormat="1" applyFont="1" applyFill="1" applyBorder="1" applyAlignment="1"/>
    <xf numFmtId="3" fontId="60" fillId="0" borderId="0" xfId="1" applyNumberFormat="1" applyFont="1" applyFill="1" applyBorder="1" applyAlignment="1"/>
    <xf numFmtId="3" fontId="13" fillId="0" borderId="0" xfId="0" applyFont="1" applyBorder="1" applyAlignment="1">
      <alignment horizontal="right"/>
    </xf>
    <xf numFmtId="0" fontId="32" fillId="0" borderId="0" xfId="1" applyFont="1" applyFill="1" applyBorder="1" applyAlignment="1">
      <alignment wrapText="1"/>
    </xf>
    <xf numFmtId="165" fontId="31" fillId="0" borderId="0" xfId="1" applyNumberFormat="1" applyFont="1" applyFill="1" applyBorder="1" applyAlignment="1">
      <alignment horizontal="center"/>
    </xf>
    <xf numFmtId="3" fontId="31" fillId="0" borderId="0" xfId="1" applyNumberFormat="1" applyFont="1" applyFill="1" applyBorder="1"/>
    <xf numFmtId="0" fontId="20" fillId="0" borderId="0" xfId="1" applyFont="1" applyFill="1" applyBorder="1"/>
    <xf numFmtId="0" fontId="17" fillId="0" borderId="0" xfId="1" applyFont="1" applyFill="1" applyBorder="1" applyAlignment="1">
      <alignment horizontal="center" vertical="center"/>
    </xf>
    <xf numFmtId="165" fontId="17" fillId="0" borderId="0" xfId="1" applyNumberFormat="1" applyFont="1" applyFill="1" applyBorder="1" applyAlignment="1">
      <alignment horizontal="center" vertical="center"/>
    </xf>
    <xf numFmtId="3" fontId="17" fillId="0" borderId="0" xfId="1" applyNumberFormat="1" applyFont="1" applyFill="1" applyBorder="1" applyAlignment="1">
      <alignment horizontal="center" vertical="center" wrapText="1"/>
    </xf>
    <xf numFmtId="3" fontId="17" fillId="0" borderId="0" xfId="1" applyNumberFormat="1" applyFont="1" applyFill="1" applyBorder="1" applyAlignment="1">
      <alignment horizontal="center" vertical="center"/>
    </xf>
    <xf numFmtId="3" fontId="5" fillId="0" borderId="0" xfId="0" applyFont="1" applyFill="1" applyBorder="1" applyAlignment="1">
      <alignment horizontal="center"/>
    </xf>
    <xf numFmtId="3" fontId="5" fillId="0" borderId="0" xfId="0" applyFont="1" applyFill="1" applyBorder="1" applyAlignment="1">
      <alignment horizontal="center" vertical="center"/>
    </xf>
    <xf numFmtId="3" fontId="9" fillId="0" borderId="0" xfId="0" applyFont="1" applyBorder="1" applyAlignment="1">
      <alignment horizontal="right"/>
    </xf>
    <xf numFmtId="0" fontId="7" fillId="0" borderId="0" xfId="1" applyFont="1" applyFill="1" applyBorder="1" applyAlignment="1"/>
    <xf numFmtId="0" fontId="10" fillId="0" borderId="0" xfId="1" applyFont="1" applyFill="1" applyBorder="1" applyAlignment="1"/>
    <xf numFmtId="1" fontId="12" fillId="0" borderId="0" xfId="0" applyNumberFormat="1" applyFont="1" applyBorder="1" applyAlignment="1">
      <alignment horizontal="left"/>
    </xf>
    <xf numFmtId="0" fontId="20" fillId="0" borderId="46" xfId="1" applyFont="1" applyFill="1" applyBorder="1"/>
    <xf numFmtId="3" fontId="13" fillId="0" borderId="47" xfId="0" applyFont="1" applyBorder="1" applyAlignment="1">
      <alignment horizontal="right"/>
    </xf>
    <xf numFmtId="0" fontId="16" fillId="0" borderId="48" xfId="1" applyFont="1" applyFill="1" applyBorder="1"/>
    <xf numFmtId="3" fontId="9" fillId="0" borderId="49" xfId="0" applyFont="1" applyBorder="1" applyAlignment="1">
      <alignment horizontal="right"/>
    </xf>
    <xf numFmtId="0" fontId="4" fillId="0" borderId="50" xfId="1" applyFont="1" applyFill="1" applyBorder="1"/>
    <xf numFmtId="0" fontId="4" fillId="0" borderId="51" xfId="1" applyFont="1" applyFill="1" applyBorder="1"/>
    <xf numFmtId="165" fontId="19" fillId="0" borderId="52" xfId="1" applyNumberFormat="1" applyFont="1" applyFill="1" applyBorder="1" applyAlignment="1">
      <alignment horizontal="center"/>
    </xf>
    <xf numFmtId="3" fontId="7" fillId="0" borderId="52" xfId="1" applyNumberFormat="1" applyFont="1" applyFill="1" applyBorder="1"/>
    <xf numFmtId="3" fontId="9" fillId="0" borderId="53" xfId="0" applyFont="1" applyBorder="1" applyAlignment="1">
      <alignment horizontal="right"/>
    </xf>
    <xf numFmtId="3" fontId="0" fillId="6" borderId="7" xfId="0" applyFont="1" applyFill="1" applyBorder="1" applyAlignment="1"/>
    <xf numFmtId="0" fontId="7" fillId="0" borderId="0" xfId="1" applyFont="1" applyFill="1"/>
    <xf numFmtId="3" fontId="7" fillId="0" borderId="5" xfId="0" applyFont="1" applyFill="1" applyBorder="1"/>
    <xf numFmtId="3" fontId="7" fillId="0" borderId="8" xfId="0" applyFont="1" applyFill="1" applyBorder="1"/>
    <xf numFmtId="3" fontId="0" fillId="0" borderId="0" xfId="0" applyFont="1" applyFill="1"/>
    <xf numFmtId="3" fontId="0" fillId="7" borderId="0" xfId="0" applyFont="1" applyFill="1"/>
    <xf numFmtId="3" fontId="9" fillId="0" borderId="6" xfId="0" applyNumberFormat="1" applyFont="1" applyFill="1" applyBorder="1"/>
    <xf numFmtId="3" fontId="9" fillId="0" borderId="0" xfId="0" applyNumberFormat="1" applyFont="1" applyFill="1" applyBorder="1"/>
    <xf numFmtId="3" fontId="9" fillId="0" borderId="12" xfId="0" applyNumberFormat="1" applyFont="1" applyFill="1" applyBorder="1"/>
    <xf numFmtId="3" fontId="8" fillId="0" borderId="9" xfId="0" applyNumberFormat="1" applyFont="1" applyFill="1" applyBorder="1"/>
    <xf numFmtId="3" fontId="8" fillId="0" borderId="11" xfId="0" applyNumberFormat="1" applyFont="1" applyFill="1" applyBorder="1"/>
    <xf numFmtId="3" fontId="9" fillId="7" borderId="6" xfId="0" applyNumberFormat="1" applyFont="1" applyFill="1" applyBorder="1"/>
    <xf numFmtId="3" fontId="9" fillId="7" borderId="9" xfId="0" applyNumberFormat="1" applyFont="1" applyFill="1" applyBorder="1"/>
    <xf numFmtId="3" fontId="8" fillId="7" borderId="9" xfId="0" applyNumberFormat="1" applyFont="1" applyFill="1" applyBorder="1"/>
    <xf numFmtId="3" fontId="9" fillId="7" borderId="0" xfId="0" applyNumberFormat="1" applyFont="1" applyFill="1" applyBorder="1" applyAlignment="1">
      <alignment horizontal="right"/>
    </xf>
    <xf numFmtId="3" fontId="8" fillId="7" borderId="11" xfId="0" applyNumberFormat="1" applyFont="1" applyFill="1" applyBorder="1"/>
    <xf numFmtId="3" fontId="9" fillId="0" borderId="21" xfId="0" applyFont="1" applyBorder="1" applyAlignment="1">
      <alignment horizontal="right" vertical="top"/>
    </xf>
    <xf numFmtId="3" fontId="13" fillId="0" borderId="54" xfId="0" applyFont="1" applyFill="1" applyBorder="1"/>
    <xf numFmtId="3" fontId="8" fillId="0" borderId="18" xfId="0" applyNumberFormat="1" applyFont="1" applyFill="1" applyBorder="1"/>
    <xf numFmtId="3" fontId="13" fillId="0" borderId="22" xfId="0" applyFont="1" applyBorder="1" applyAlignment="1">
      <alignment horizontal="right"/>
    </xf>
    <xf numFmtId="3" fontId="7" fillId="7" borderId="6" xfId="0" applyNumberFormat="1" applyFont="1" applyFill="1" applyBorder="1"/>
    <xf numFmtId="164" fontId="7" fillId="7" borderId="34" xfId="0" applyNumberFormat="1" applyFont="1" applyFill="1" applyBorder="1"/>
    <xf numFmtId="3" fontId="21" fillId="0" borderId="38" xfId="1" applyNumberFormat="1" applyFont="1" applyFill="1" applyBorder="1" applyAlignment="1">
      <alignment horizontal="center"/>
    </xf>
    <xf numFmtId="3" fontId="7" fillId="0" borderId="5" xfId="0" applyFont="1" applyFill="1" applyBorder="1" applyAlignment="1">
      <alignment wrapText="1"/>
    </xf>
    <xf numFmtId="3" fontId="9" fillId="7" borderId="6" xfId="0" applyNumberFormat="1" applyFont="1" applyFill="1" applyBorder="1" applyAlignment="1">
      <alignment vertical="top"/>
    </xf>
    <xf numFmtId="3" fontId="7" fillId="0" borderId="13" xfId="0" applyFont="1" applyFill="1" applyBorder="1"/>
    <xf numFmtId="3" fontId="9" fillId="0" borderId="27" xfId="0" applyNumberFormat="1" applyFont="1" applyFill="1" applyBorder="1"/>
    <xf numFmtId="3" fontId="9" fillId="7" borderId="27" xfId="0" applyNumberFormat="1" applyFont="1" applyFill="1" applyBorder="1"/>
    <xf numFmtId="3" fontId="9" fillId="0" borderId="6" xfId="0" applyNumberFormat="1" applyFont="1" applyFill="1" applyBorder="1" applyAlignment="1">
      <alignment vertical="top"/>
    </xf>
    <xf numFmtId="4" fontId="20" fillId="0" borderId="0" xfId="1" applyNumberFormat="1" applyFont="1" applyFill="1"/>
    <xf numFmtId="164" fontId="62" fillId="0" borderId="0" xfId="1" applyNumberFormat="1" applyFont="1" applyFill="1" applyBorder="1"/>
    <xf numFmtId="3" fontId="40" fillId="0" borderId="0" xfId="1" applyNumberFormat="1" applyFont="1" applyFill="1" applyBorder="1"/>
    <xf numFmtId="4" fontId="24" fillId="0" borderId="0" xfId="1" applyNumberFormat="1" applyFont="1" applyFill="1"/>
    <xf numFmtId="4" fontId="25" fillId="0" borderId="0" xfId="1" applyNumberFormat="1" applyFont="1" applyFill="1" applyBorder="1"/>
    <xf numFmtId="0" fontId="19" fillId="0" borderId="0" xfId="1" applyFont="1" applyFill="1" applyBorder="1"/>
    <xf numFmtId="164" fontId="44" fillId="0" borderId="0" xfId="1" applyNumberFormat="1" applyFont="1" applyFill="1" applyBorder="1"/>
    <xf numFmtId="164" fontId="25" fillId="0" borderId="0" xfId="1" applyNumberFormat="1" applyFont="1" applyFill="1" applyBorder="1"/>
    <xf numFmtId="4" fontId="27" fillId="0" borderId="0" xfId="1" applyNumberFormat="1" applyFont="1" applyFill="1" applyBorder="1"/>
    <xf numFmtId="4" fontId="28" fillId="0" borderId="0" xfId="1" applyNumberFormat="1" applyFont="1" applyFill="1" applyBorder="1"/>
    <xf numFmtId="0" fontId="29" fillId="0" borderId="0" xfId="1" applyFont="1" applyFill="1" applyBorder="1"/>
    <xf numFmtId="3" fontId="9" fillId="0" borderId="25" xfId="0" applyFont="1" applyBorder="1" applyAlignment="1">
      <alignment horizontal="right" vertical="top"/>
    </xf>
    <xf numFmtId="3" fontId="63" fillId="0" borderId="0" xfId="0" applyFont="1" applyFill="1" applyAlignment="1">
      <alignment horizontal="center" vertical="center"/>
    </xf>
    <xf numFmtId="3" fontId="4" fillId="8" borderId="3" xfId="0" applyFont="1" applyFill="1" applyBorder="1" applyAlignment="1">
      <alignment horizontal="center" vertical="center"/>
    </xf>
    <xf numFmtId="3" fontId="5" fillId="8" borderId="1" xfId="0" applyFont="1" applyFill="1" applyBorder="1" applyAlignment="1">
      <alignment horizontal="center" vertical="center"/>
    </xf>
    <xf numFmtId="3" fontId="5" fillId="8" borderId="2" xfId="0" applyFont="1" applyFill="1" applyBorder="1" applyAlignment="1">
      <alignment horizontal="center" vertical="center"/>
    </xf>
    <xf numFmtId="3" fontId="5" fillId="8" borderId="3" xfId="0" applyFont="1" applyFill="1" applyBorder="1" applyAlignment="1">
      <alignment horizontal="center"/>
    </xf>
    <xf numFmtId="3" fontId="5" fillId="8" borderId="4" xfId="0" applyFont="1" applyFill="1" applyBorder="1" applyAlignment="1">
      <alignment horizontal="center" vertical="center"/>
    </xf>
    <xf numFmtId="0" fontId="17" fillId="8" borderId="3" xfId="1" applyFont="1" applyFill="1" applyBorder="1" applyAlignment="1">
      <alignment horizontal="center" vertical="center"/>
    </xf>
    <xf numFmtId="165" fontId="17" fillId="8" borderId="1" xfId="1" applyNumberFormat="1" applyFont="1" applyFill="1" applyBorder="1" applyAlignment="1">
      <alignment horizontal="center" vertical="center"/>
    </xf>
    <xf numFmtId="3" fontId="17" fillId="8" borderId="1" xfId="1" applyNumberFormat="1" applyFont="1" applyFill="1" applyBorder="1" applyAlignment="1">
      <alignment horizontal="center" vertical="center" wrapText="1"/>
    </xf>
    <xf numFmtId="3" fontId="17" fillId="8" borderId="2" xfId="1" applyNumberFormat="1" applyFont="1" applyFill="1" applyBorder="1" applyAlignment="1">
      <alignment horizontal="center" vertical="center"/>
    </xf>
    <xf numFmtId="3" fontId="17" fillId="8" borderId="4" xfId="1" applyNumberFormat="1" applyFont="1" applyFill="1" applyBorder="1" applyAlignment="1">
      <alignment horizontal="center" vertical="center"/>
    </xf>
    <xf numFmtId="3" fontId="17" fillId="8" borderId="1" xfId="0" applyNumberFormat="1" applyFont="1" applyFill="1" applyBorder="1" applyAlignment="1">
      <alignment horizontal="center" vertical="center" wrapText="1"/>
    </xf>
    <xf numFmtId="3" fontId="16" fillId="8" borderId="2" xfId="0" applyNumberFormat="1" applyFont="1" applyFill="1" applyBorder="1" applyAlignment="1">
      <alignment horizontal="center" vertical="center"/>
    </xf>
    <xf numFmtId="1" fontId="55" fillId="8" borderId="40" xfId="0" applyNumberFormat="1" applyFont="1" applyFill="1" applyBorder="1" applyAlignment="1">
      <alignment horizontal="left"/>
    </xf>
    <xf numFmtId="3" fontId="5" fillId="8" borderId="43" xfId="0" applyFont="1" applyFill="1" applyBorder="1"/>
    <xf numFmtId="3" fontId="5" fillId="8" borderId="39" xfId="0" applyFont="1" applyFill="1" applyBorder="1"/>
    <xf numFmtId="3" fontId="5" fillId="8" borderId="6" xfId="0" applyFont="1" applyFill="1" applyBorder="1" applyAlignment="1">
      <alignment horizontal="center"/>
    </xf>
    <xf numFmtId="3" fontId="5" fillId="8" borderId="34" xfId="0" applyFont="1" applyFill="1" applyBorder="1" applyAlignment="1">
      <alignment horizontal="center"/>
    </xf>
    <xf numFmtId="1" fontId="47" fillId="0" borderId="31" xfId="0" applyNumberFormat="1" applyFont="1" applyFill="1" applyBorder="1" applyAlignment="1">
      <alignment horizontal="left"/>
    </xf>
    <xf numFmtId="3" fontId="4" fillId="0" borderId="32" xfId="0" applyFont="1" applyFill="1" applyBorder="1"/>
    <xf numFmtId="3" fontId="4" fillId="0" borderId="29" xfId="0" applyFont="1" applyFill="1" applyBorder="1"/>
    <xf numFmtId="3" fontId="8" fillId="0" borderId="27" xfId="0" applyNumberFormat="1" applyFont="1" applyFill="1" applyBorder="1" applyAlignment="1">
      <alignment horizontal="right"/>
    </xf>
    <xf numFmtId="3" fontId="8" fillId="0" borderId="33" xfId="0" applyNumberFormat="1" applyFont="1" applyFill="1" applyBorder="1" applyAlignment="1">
      <alignment horizontal="right"/>
    </xf>
    <xf numFmtId="1" fontId="47" fillId="0" borderId="7" xfId="0" applyNumberFormat="1" applyFont="1" applyFill="1" applyBorder="1" applyAlignment="1">
      <alignment horizontal="left"/>
    </xf>
    <xf numFmtId="3" fontId="1" fillId="0" borderId="0" xfId="0" applyFont="1" applyFill="1" applyBorder="1" applyAlignment="1"/>
    <xf numFmtId="3" fontId="1" fillId="0" borderId="14" xfId="0" applyFont="1" applyFill="1" applyBorder="1" applyAlignment="1"/>
    <xf numFmtId="3" fontId="8" fillId="0" borderId="6" xfId="0" applyFont="1" applyFill="1" applyBorder="1" applyAlignment="1">
      <alignment horizontal="right"/>
    </xf>
    <xf numFmtId="3" fontId="8" fillId="0" borderId="34" xfId="0" applyNumberFormat="1" applyFont="1" applyFill="1" applyBorder="1" applyAlignment="1">
      <alignment horizontal="right"/>
    </xf>
    <xf numFmtId="3" fontId="13" fillId="0" borderId="10" xfId="0" applyFont="1" applyFill="1" applyBorder="1" applyAlignment="1"/>
    <xf numFmtId="3" fontId="3" fillId="0" borderId="19" xfId="0" applyFont="1" applyFill="1" applyBorder="1" applyAlignment="1"/>
    <xf numFmtId="3" fontId="3" fillId="0" borderId="19" xfId="0" applyFont="1" applyFill="1" applyBorder="1" applyAlignment="1">
      <alignment horizontal="right"/>
    </xf>
    <xf numFmtId="3" fontId="2" fillId="0" borderId="19" xfId="0" applyFont="1" applyFill="1" applyBorder="1" applyAlignment="1">
      <alignment horizontal="right"/>
    </xf>
    <xf numFmtId="3" fontId="8" fillId="0" borderId="11" xfId="0" applyFont="1" applyFill="1" applyBorder="1" applyAlignment="1">
      <alignment horizontal="right"/>
    </xf>
    <xf numFmtId="3" fontId="3" fillId="0" borderId="30" xfId="0" applyFont="1" applyFill="1" applyBorder="1" applyAlignment="1">
      <alignment horizontal="right"/>
    </xf>
    <xf numFmtId="3" fontId="16" fillId="0" borderId="0" xfId="1" applyNumberFormat="1" applyFont="1" applyFill="1" applyAlignment="1">
      <alignment horizontal="right"/>
    </xf>
    <xf numFmtId="3" fontId="9" fillId="0" borderId="5" xfId="0" applyFont="1" applyFill="1" applyBorder="1"/>
    <xf numFmtId="0" fontId="0" fillId="0" borderId="38" xfId="2" applyFont="1" applyFill="1" applyBorder="1"/>
    <xf numFmtId="3" fontId="7" fillId="0" borderId="38" xfId="1" applyNumberFormat="1" applyFont="1" applyFill="1" applyBorder="1"/>
    <xf numFmtId="3" fontId="7" fillId="7" borderId="27" xfId="0" applyNumberFormat="1" applyFont="1" applyFill="1" applyBorder="1"/>
    <xf numFmtId="164" fontId="7" fillId="7" borderId="33" xfId="0" applyNumberFormat="1" applyFont="1" applyFill="1" applyBorder="1"/>
    <xf numFmtId="1" fontId="9" fillId="0" borderId="7" xfId="1" applyNumberFormat="1" applyFont="1" applyFill="1" applyBorder="1" applyAlignment="1">
      <alignment horizontal="left"/>
    </xf>
    <xf numFmtId="165" fontId="16" fillId="0" borderId="14" xfId="1" applyNumberFormat="1" applyFont="1" applyFill="1" applyBorder="1" applyAlignment="1">
      <alignment horizontal="center"/>
    </xf>
    <xf numFmtId="3" fontId="9" fillId="0" borderId="25" xfId="0" applyFont="1" applyFill="1" applyBorder="1" applyAlignment="1">
      <alignment horizontal="right"/>
    </xf>
    <xf numFmtId="0" fontId="20" fillId="0" borderId="5" xfId="1" applyFont="1" applyFill="1" applyBorder="1"/>
    <xf numFmtId="3" fontId="21" fillId="0" borderId="6" xfId="1" applyNumberFormat="1" applyFont="1" applyFill="1" applyBorder="1" applyAlignment="1">
      <alignment horizontal="center"/>
    </xf>
    <xf numFmtId="0" fontId="25" fillId="0" borderId="5" xfId="1" applyFont="1" applyFill="1" applyBorder="1" applyAlignment="1">
      <alignment wrapText="1"/>
    </xf>
    <xf numFmtId="165" fontId="16" fillId="0" borderId="6" xfId="1" applyNumberFormat="1" applyFont="1" applyFill="1" applyBorder="1" applyAlignment="1">
      <alignment horizontal="center"/>
    </xf>
    <xf numFmtId="0" fontId="0" fillId="0" borderId="5" xfId="2" applyFont="1" applyFill="1" applyBorder="1"/>
    <xf numFmtId="0" fontId="16" fillId="0" borderId="8" xfId="1" applyFont="1" applyFill="1" applyBorder="1"/>
    <xf numFmtId="165" fontId="16" fillId="0" borderId="9" xfId="1" applyNumberFormat="1" applyFont="1" applyFill="1" applyBorder="1" applyAlignment="1">
      <alignment horizontal="center"/>
    </xf>
    <xf numFmtId="0" fontId="20" fillId="0" borderId="15" xfId="1" applyFont="1" applyFill="1" applyBorder="1"/>
    <xf numFmtId="1" fontId="21" fillId="0" borderId="16" xfId="1" applyNumberFormat="1" applyFont="1" applyFill="1" applyBorder="1" applyAlignment="1">
      <alignment horizontal="center"/>
    </xf>
    <xf numFmtId="165" fontId="21" fillId="0" borderId="9" xfId="1" applyNumberFormat="1" applyFont="1" applyFill="1" applyBorder="1" applyAlignment="1">
      <alignment horizontal="center"/>
    </xf>
    <xf numFmtId="0" fontId="20" fillId="0" borderId="7" xfId="1" applyFont="1" applyFill="1" applyBorder="1"/>
    <xf numFmtId="1" fontId="21" fillId="0" borderId="6" xfId="1" applyNumberFormat="1" applyFont="1" applyFill="1" applyBorder="1" applyAlignment="1">
      <alignment horizontal="center"/>
    </xf>
    <xf numFmtId="0" fontId="0" fillId="0" borderId="8" xfId="2" applyFont="1" applyFill="1" applyBorder="1"/>
    <xf numFmtId="0" fontId="13" fillId="0" borderId="5" xfId="1" applyFont="1" applyFill="1" applyBorder="1" applyAlignment="1">
      <alignment wrapText="1"/>
    </xf>
    <xf numFmtId="0" fontId="20" fillId="0" borderId="56" xfId="1" applyFont="1" applyFill="1" applyBorder="1"/>
    <xf numFmtId="3" fontId="21" fillId="0" borderId="9" xfId="1" applyNumberFormat="1" applyFont="1" applyFill="1" applyBorder="1" applyAlignment="1">
      <alignment horizontal="center"/>
    </xf>
    <xf numFmtId="0" fontId="20" fillId="0" borderId="15" xfId="1" applyFont="1" applyFill="1" applyBorder="1" applyAlignment="1">
      <alignment wrapText="1"/>
    </xf>
    <xf numFmtId="3" fontId="21" fillId="0" borderId="16" xfId="1" applyNumberFormat="1" applyFont="1" applyFill="1" applyBorder="1" applyAlignment="1">
      <alignment horizontal="center"/>
    </xf>
    <xf numFmtId="0" fontId="20" fillId="0" borderId="5" xfId="1" applyFont="1" applyFill="1" applyBorder="1" applyAlignment="1">
      <alignment wrapText="1"/>
    </xf>
    <xf numFmtId="0" fontId="20" fillId="0" borderId="13" xfId="1" applyFont="1" applyFill="1" applyBorder="1"/>
    <xf numFmtId="165" fontId="21" fillId="0" borderId="16" xfId="1" applyNumberFormat="1" applyFont="1" applyFill="1" applyBorder="1" applyAlignment="1">
      <alignment horizontal="center"/>
    </xf>
    <xf numFmtId="0" fontId="20" fillId="0" borderId="5" xfId="1" applyFont="1" applyFill="1" applyBorder="1" applyAlignment="1"/>
    <xf numFmtId="3" fontId="16" fillId="0" borderId="6" xfId="1" applyNumberFormat="1" applyFont="1" applyFill="1" applyBorder="1" applyAlignment="1">
      <alignment horizontal="center"/>
    </xf>
    <xf numFmtId="3" fontId="16" fillId="0" borderId="14" xfId="1" applyNumberFormat="1" applyFont="1" applyFill="1" applyBorder="1" applyAlignment="1">
      <alignment horizontal="center"/>
    </xf>
    <xf numFmtId="0" fontId="26" fillId="0" borderId="5" xfId="1" applyFont="1" applyFill="1" applyBorder="1" applyAlignment="1">
      <alignment wrapText="1"/>
    </xf>
    <xf numFmtId="3" fontId="16" fillId="0" borderId="41" xfId="1" applyNumberFormat="1" applyFont="1" applyFill="1" applyBorder="1" applyAlignment="1">
      <alignment horizontal="center"/>
    </xf>
    <xf numFmtId="0" fontId="20" fillId="0" borderId="15" xfId="1" applyFont="1" applyFill="1" applyBorder="1" applyAlignment="1"/>
    <xf numFmtId="3" fontId="21" fillId="0" borderId="0" xfId="1" applyNumberFormat="1" applyFont="1" applyFill="1" applyBorder="1" applyAlignment="1">
      <alignment horizontal="center"/>
    </xf>
    <xf numFmtId="3" fontId="9" fillId="0" borderId="0" xfId="0" applyFont="1" applyFill="1" applyBorder="1" applyAlignment="1">
      <alignment horizontal="right"/>
    </xf>
    <xf numFmtId="0" fontId="16" fillId="0" borderId="54" xfId="1" applyFont="1" applyFill="1" applyBorder="1"/>
    <xf numFmtId="3" fontId="21" fillId="0" borderId="18" xfId="1" applyNumberFormat="1" applyFont="1" applyFill="1" applyBorder="1" applyAlignment="1">
      <alignment horizontal="center"/>
    </xf>
    <xf numFmtId="164" fontId="13" fillId="7" borderId="57" xfId="0" applyNumberFormat="1" applyFont="1" applyFill="1" applyBorder="1" applyAlignment="1">
      <alignment vertical="center"/>
    </xf>
    <xf numFmtId="0" fontId="20" fillId="0" borderId="17" xfId="1" applyFont="1" applyFill="1" applyBorder="1" applyAlignment="1">
      <alignment wrapText="1"/>
    </xf>
    <xf numFmtId="165" fontId="20" fillId="0" borderId="42" xfId="1" applyNumberFormat="1" applyFont="1" applyFill="1" applyBorder="1" applyAlignment="1">
      <alignment horizontal="center"/>
    </xf>
    <xf numFmtId="3" fontId="20" fillId="0" borderId="18" xfId="1" applyNumberFormat="1" applyFont="1" applyFill="1" applyBorder="1"/>
    <xf numFmtId="3" fontId="13" fillId="7" borderId="59" xfId="0" applyNumberFormat="1" applyFont="1" applyFill="1" applyBorder="1" applyAlignment="1">
      <alignment vertical="center"/>
    </xf>
    <xf numFmtId="164" fontId="13" fillId="7" borderId="60" xfId="0" applyNumberFormat="1" applyFont="1" applyFill="1" applyBorder="1" applyAlignment="1">
      <alignment vertical="center"/>
    </xf>
    <xf numFmtId="3" fontId="7" fillId="0" borderId="28" xfId="1" applyNumberFormat="1" applyFont="1" applyFill="1" applyBorder="1" applyAlignment="1">
      <alignment vertical="center"/>
    </xf>
    <xf numFmtId="164" fontId="7" fillId="7" borderId="24" xfId="0" applyNumberFormat="1" applyFont="1" applyFill="1" applyBorder="1"/>
    <xf numFmtId="3" fontId="13" fillId="0" borderId="24" xfId="0" applyFont="1" applyFill="1" applyBorder="1" applyAlignment="1">
      <alignment horizontal="right"/>
    </xf>
    <xf numFmtId="3" fontId="13" fillId="0" borderId="23" xfId="0" applyFont="1" applyFill="1" applyBorder="1" applyAlignment="1">
      <alignment horizontal="right"/>
    </xf>
    <xf numFmtId="3" fontId="9" fillId="0" borderId="18" xfId="0" applyNumberFormat="1" applyFont="1" applyFill="1" applyBorder="1"/>
    <xf numFmtId="164" fontId="9" fillId="0" borderId="22" xfId="0" applyNumberFormat="1" applyFont="1" applyFill="1" applyBorder="1"/>
    <xf numFmtId="3" fontId="20" fillId="0" borderId="16" xfId="1" applyNumberFormat="1" applyFont="1" applyFill="1" applyBorder="1"/>
    <xf numFmtId="3" fontId="13" fillId="0" borderId="21" xfId="0" applyFont="1" applyFill="1" applyBorder="1" applyAlignment="1">
      <alignment horizontal="right"/>
    </xf>
    <xf numFmtId="3" fontId="9" fillId="0" borderId="21" xfId="0" applyFont="1" applyFill="1" applyBorder="1" applyAlignment="1">
      <alignment horizontal="right"/>
    </xf>
    <xf numFmtId="3" fontId="7" fillId="0" borderId="9" xfId="1" applyNumberFormat="1" applyFont="1" applyFill="1" applyBorder="1"/>
    <xf numFmtId="3" fontId="20" fillId="0" borderId="6" xfId="1" applyNumberFormat="1" applyFont="1" applyFill="1" applyBorder="1"/>
    <xf numFmtId="3" fontId="25" fillId="0" borderId="6" xfId="1" applyNumberFormat="1" applyFont="1" applyFill="1" applyBorder="1"/>
    <xf numFmtId="3" fontId="26" fillId="0" borderId="21" xfId="0" applyFont="1" applyFill="1" applyBorder="1" applyAlignment="1">
      <alignment horizontal="right"/>
    </xf>
    <xf numFmtId="3" fontId="20" fillId="0" borderId="9" xfId="1" applyNumberFormat="1" applyFont="1" applyFill="1" applyBorder="1"/>
    <xf numFmtId="3" fontId="7" fillId="0" borderId="6" xfId="0" applyNumberFormat="1" applyFont="1" applyFill="1" applyBorder="1"/>
    <xf numFmtId="164" fontId="7" fillId="0" borderId="21" xfId="0" applyNumberFormat="1" applyFont="1" applyFill="1" applyBorder="1"/>
    <xf numFmtId="3" fontId="7" fillId="0" borderId="8" xfId="0" applyFont="1" applyFill="1" applyBorder="1" applyAlignment="1">
      <alignment wrapText="1"/>
    </xf>
    <xf numFmtId="3" fontId="9" fillId="0" borderId="9" xfId="0" applyNumberFormat="1" applyFont="1" applyFill="1" applyBorder="1" applyAlignment="1">
      <alignment vertical="top"/>
    </xf>
    <xf numFmtId="3" fontId="9" fillId="7" borderId="9" xfId="0" applyNumberFormat="1" applyFont="1" applyFill="1" applyBorder="1" applyAlignment="1">
      <alignment vertical="top"/>
    </xf>
    <xf numFmtId="3" fontId="5" fillId="8" borderId="11" xfId="0" applyFont="1" applyFill="1" applyBorder="1" applyAlignment="1">
      <alignment horizontal="center" vertical="center"/>
    </xf>
    <xf numFmtId="1" fontId="7" fillId="0" borderId="0" xfId="0" applyNumberFormat="1" applyFont="1" applyFill="1" applyAlignment="1">
      <alignment horizontal="justify" wrapText="1"/>
    </xf>
    <xf numFmtId="10" fontId="0" fillId="0" borderId="0" xfId="3" applyNumberFormat="1" applyFont="1" applyFill="1"/>
    <xf numFmtId="3" fontId="5" fillId="0" borderId="0" xfId="0" applyFont="1" applyFill="1" applyAlignment="1">
      <alignment wrapText="1"/>
    </xf>
    <xf numFmtId="3" fontId="1" fillId="0" borderId="0" xfId="0" applyFont="1" applyFill="1"/>
    <xf numFmtId="3" fontId="6" fillId="0" borderId="0" xfId="0" applyFont="1" applyFill="1" applyAlignment="1"/>
    <xf numFmtId="3" fontId="25" fillId="0" borderId="67" xfId="0" applyFont="1" applyFill="1" applyBorder="1" applyAlignment="1">
      <alignment horizontal="left"/>
    </xf>
    <xf numFmtId="3" fontId="25" fillId="0" borderId="67" xfId="0" applyFont="1" applyFill="1" applyBorder="1" applyAlignment="1">
      <alignment horizontal="left" wrapText="1"/>
    </xf>
    <xf numFmtId="1" fontId="13" fillId="7" borderId="69" xfId="0" applyNumberFormat="1" applyFont="1" applyFill="1" applyBorder="1" applyAlignment="1">
      <alignment vertical="center" wrapText="1"/>
    </xf>
    <xf numFmtId="166" fontId="0" fillId="0" borderId="0" xfId="0" applyNumberFormat="1" applyFill="1"/>
    <xf numFmtId="3" fontId="8" fillId="0" borderId="70" xfId="0" applyNumberFormat="1" applyFont="1" applyFill="1" applyBorder="1"/>
    <xf numFmtId="164" fontId="13" fillId="0" borderId="71" xfId="0" applyNumberFormat="1" applyFont="1" applyBorder="1" applyAlignment="1">
      <alignment horizontal="right"/>
    </xf>
    <xf numFmtId="3" fontId="8" fillId="0" borderId="73" xfId="0" applyNumberFormat="1" applyFont="1" applyFill="1" applyBorder="1"/>
    <xf numFmtId="3" fontId="1" fillId="0" borderId="72" xfId="0" applyFont="1" applyFill="1" applyBorder="1" applyAlignment="1">
      <alignment horizontal="center"/>
    </xf>
    <xf numFmtId="164" fontId="13" fillId="0" borderId="72" xfId="0" applyNumberFormat="1" applyFont="1" applyBorder="1" applyAlignment="1">
      <alignment horizontal="right"/>
    </xf>
    <xf numFmtId="164" fontId="7" fillId="7" borderId="72" xfId="0" applyNumberFormat="1" applyFont="1" applyFill="1" applyBorder="1"/>
    <xf numFmtId="164" fontId="13" fillId="7" borderId="72" xfId="0" applyNumberFormat="1" applyFont="1" applyFill="1" applyBorder="1" applyAlignment="1">
      <alignment vertical="center"/>
    </xf>
    <xf numFmtId="3" fontId="5" fillId="0" borderId="72" xfId="0" applyFont="1" applyFill="1" applyBorder="1" applyAlignment="1">
      <alignment horizontal="center" vertical="center" wrapText="1"/>
    </xf>
    <xf numFmtId="3" fontId="5" fillId="0" borderId="72" xfId="0" applyFont="1" applyFill="1" applyBorder="1" applyAlignment="1">
      <alignment horizontal="center" vertical="center"/>
    </xf>
    <xf numFmtId="164" fontId="9" fillId="0" borderId="72" xfId="0" applyNumberFormat="1" applyFont="1" applyFill="1" applyBorder="1" applyAlignment="1">
      <alignment horizontal="right"/>
    </xf>
    <xf numFmtId="164" fontId="13" fillId="0" borderId="72" xfId="0" applyNumberFormat="1" applyFont="1" applyFill="1" applyBorder="1" applyAlignment="1">
      <alignment horizontal="right"/>
    </xf>
    <xf numFmtId="3" fontId="16" fillId="0" borderId="72" xfId="0" applyFont="1" applyFill="1" applyBorder="1" applyAlignment="1">
      <alignment horizontal="center" vertical="center"/>
    </xf>
    <xf numFmtId="3" fontId="17" fillId="0" borderId="72" xfId="1" applyNumberFormat="1" applyFont="1" applyFill="1" applyBorder="1" applyAlignment="1">
      <alignment horizontal="center" vertical="center"/>
    </xf>
    <xf numFmtId="3" fontId="0" fillId="0" borderId="0" xfId="0" applyFont="1" applyFill="1" applyBorder="1"/>
    <xf numFmtId="164" fontId="9" fillId="0" borderId="75" xfId="0" applyNumberFormat="1" applyFont="1" applyBorder="1" applyAlignment="1">
      <alignment horizontal="right"/>
    </xf>
    <xf numFmtId="3" fontId="7" fillId="0" borderId="67" xfId="0" applyFont="1" applyFill="1" applyBorder="1"/>
    <xf numFmtId="164" fontId="9" fillId="0" borderId="76" xfId="0" applyNumberFormat="1" applyFont="1" applyBorder="1" applyAlignment="1">
      <alignment horizontal="right"/>
    </xf>
    <xf numFmtId="3" fontId="9" fillId="0" borderId="67" xfId="0" applyFont="1" applyFill="1" applyBorder="1"/>
    <xf numFmtId="164" fontId="9" fillId="0" borderId="72" xfId="0" applyNumberFormat="1" applyFont="1" applyBorder="1" applyAlignment="1">
      <alignment horizontal="right" wrapText="1"/>
    </xf>
    <xf numFmtId="164" fontId="9" fillId="0" borderId="72" xfId="0" applyNumberFormat="1" applyFont="1" applyFill="1" applyBorder="1" applyAlignment="1">
      <alignment horizontal="right" wrapText="1"/>
    </xf>
    <xf numFmtId="3" fontId="25" fillId="0" borderId="77" xfId="0" applyFont="1" applyFill="1" applyBorder="1" applyAlignment="1">
      <alignment horizontal="left"/>
    </xf>
    <xf numFmtId="3" fontId="5" fillId="8" borderId="28" xfId="0" applyFont="1" applyFill="1" applyBorder="1" applyAlignment="1">
      <alignment horizontal="center" vertical="center" wrapText="1"/>
    </xf>
    <xf numFmtId="3" fontId="5" fillId="8" borderId="83" xfId="0" applyFont="1" applyFill="1" applyBorder="1" applyAlignment="1">
      <alignment horizontal="center" vertical="center" wrapText="1"/>
    </xf>
    <xf numFmtId="3" fontId="7" fillId="0" borderId="84" xfId="0" applyFont="1" applyFill="1" applyBorder="1"/>
    <xf numFmtId="3" fontId="5" fillId="8" borderId="85" xfId="0" applyFont="1" applyFill="1" applyBorder="1" applyAlignment="1">
      <alignment horizontal="center" vertical="center"/>
    </xf>
    <xf numFmtId="3" fontId="1" fillId="8" borderId="80" xfId="0" applyFont="1" applyFill="1" applyBorder="1" applyAlignment="1">
      <alignment horizontal="center" vertical="center" wrapText="1"/>
    </xf>
    <xf numFmtId="3" fontId="5" fillId="8" borderId="86" xfId="0" applyFont="1" applyFill="1" applyBorder="1" applyAlignment="1">
      <alignment horizontal="center"/>
    </xf>
    <xf numFmtId="3" fontId="5" fillId="8" borderId="90" xfId="0" applyFont="1" applyFill="1" applyBorder="1" applyAlignment="1">
      <alignment horizontal="center" vertical="center" wrapText="1"/>
    </xf>
    <xf numFmtId="3" fontId="0" fillId="0" borderId="65" xfId="0" applyFill="1" applyBorder="1"/>
    <xf numFmtId="3" fontId="5" fillId="8" borderId="91" xfId="0" applyFont="1" applyFill="1" applyBorder="1" applyAlignment="1">
      <alignment horizontal="center" vertical="center"/>
    </xf>
    <xf numFmtId="3" fontId="5" fillId="8" borderId="16" xfId="0" applyFont="1" applyFill="1" applyBorder="1" applyAlignment="1">
      <alignment horizontal="center" vertical="center"/>
    </xf>
    <xf numFmtId="3" fontId="5" fillId="8" borderId="92" xfId="0" applyFont="1" applyFill="1" applyBorder="1" applyAlignment="1">
      <alignment horizontal="center" vertical="center"/>
    </xf>
    <xf numFmtId="3" fontId="9" fillId="0" borderId="74" xfId="0" applyNumberFormat="1" applyFont="1" applyFill="1" applyBorder="1"/>
    <xf numFmtId="3" fontId="5" fillId="8" borderId="86" xfId="0" applyFont="1" applyFill="1" applyBorder="1" applyAlignment="1">
      <alignment horizontal="center" vertical="center"/>
    </xf>
    <xf numFmtId="164" fontId="9" fillId="0" borderId="68" xfId="0" applyNumberFormat="1" applyFont="1" applyFill="1" applyBorder="1" applyAlignment="1">
      <alignment horizontal="right"/>
    </xf>
    <xf numFmtId="164" fontId="26" fillId="0" borderId="79" xfId="0" applyNumberFormat="1" applyFont="1" applyBorder="1" applyAlignment="1">
      <alignment horizontal="right"/>
    </xf>
    <xf numFmtId="3" fontId="17" fillId="8" borderId="81" xfId="0" applyFont="1" applyFill="1" applyBorder="1" applyAlignment="1">
      <alignment horizontal="center" vertical="center" wrapText="1"/>
    </xf>
    <xf numFmtId="3" fontId="16" fillId="8" borderId="82" xfId="0" applyFont="1" applyFill="1" applyBorder="1" applyAlignment="1">
      <alignment horizontal="center" vertical="center"/>
    </xf>
    <xf numFmtId="3" fontId="17" fillId="8" borderId="80" xfId="0" applyFont="1" applyFill="1" applyBorder="1" applyAlignment="1">
      <alignment horizontal="center" vertical="center" wrapText="1"/>
    </xf>
    <xf numFmtId="3" fontId="0" fillId="0" borderId="65" xfId="0" applyFont="1" applyFill="1" applyBorder="1"/>
    <xf numFmtId="3" fontId="0" fillId="7" borderId="65" xfId="0" applyFont="1" applyFill="1" applyBorder="1"/>
    <xf numFmtId="1" fontId="13" fillId="7" borderId="66" xfId="0" applyNumberFormat="1" applyFont="1" applyFill="1" applyBorder="1" applyAlignment="1">
      <alignment vertical="center" wrapText="1"/>
    </xf>
    <xf numFmtId="164" fontId="13" fillId="7" borderId="53" xfId="0" applyNumberFormat="1" applyFont="1" applyFill="1" applyBorder="1" applyAlignment="1">
      <alignment vertical="center"/>
    </xf>
    <xf numFmtId="3" fontId="0" fillId="7" borderId="65" xfId="0" applyFill="1" applyBorder="1"/>
    <xf numFmtId="164" fontId="13" fillId="7" borderId="95" xfId="0" applyNumberFormat="1" applyFont="1" applyFill="1" applyBorder="1" applyAlignment="1">
      <alignment vertical="center"/>
    </xf>
    <xf numFmtId="3" fontId="7" fillId="0" borderId="74" xfId="0" applyFont="1" applyFill="1" applyBorder="1"/>
    <xf numFmtId="3" fontId="5" fillId="8" borderId="86" xfId="0" applyFont="1" applyFill="1" applyBorder="1" applyAlignment="1">
      <alignment horizontal="center" vertical="center" wrapText="1"/>
    </xf>
    <xf numFmtId="3" fontId="5" fillId="8" borderId="11" xfId="0" applyFont="1" applyFill="1" applyBorder="1" applyAlignment="1">
      <alignment horizontal="center" vertical="center" wrapText="1"/>
    </xf>
    <xf numFmtId="3" fontId="5" fillId="8" borderId="85" xfId="0" applyFont="1" applyFill="1" applyBorder="1" applyAlignment="1">
      <alignment horizontal="center" vertical="center" wrapText="1"/>
    </xf>
    <xf numFmtId="3" fontId="5" fillId="8" borderId="88" xfId="0" applyFont="1" applyFill="1" applyBorder="1" applyAlignment="1">
      <alignment horizontal="center" vertical="center" wrapText="1"/>
    </xf>
    <xf numFmtId="3" fontId="5" fillId="8" borderId="89" xfId="0" applyFont="1" applyFill="1" applyBorder="1" applyAlignment="1">
      <alignment horizontal="center" vertical="center" wrapText="1"/>
    </xf>
    <xf numFmtId="3" fontId="5" fillId="8" borderId="87" xfId="0" applyFont="1" applyFill="1" applyBorder="1" applyAlignment="1">
      <alignment horizontal="center" vertical="center" wrapText="1"/>
    </xf>
    <xf numFmtId="164" fontId="7" fillId="7" borderId="75" xfId="0" applyNumberFormat="1" applyFont="1" applyFill="1" applyBorder="1"/>
    <xf numFmtId="164" fontId="7" fillId="7" borderId="78" xfId="0" applyNumberFormat="1" applyFont="1" applyFill="1" applyBorder="1"/>
    <xf numFmtId="3" fontId="7" fillId="7" borderId="74" xfId="0" applyFont="1" applyFill="1" applyBorder="1" applyAlignment="1">
      <alignment wrapText="1"/>
    </xf>
    <xf numFmtId="3" fontId="7" fillId="7" borderId="77" xfId="0" applyFont="1" applyFill="1" applyBorder="1" applyAlignment="1">
      <alignment wrapText="1"/>
    </xf>
    <xf numFmtId="3" fontId="13" fillId="0" borderId="66" xfId="0" applyFont="1" applyFill="1" applyBorder="1"/>
    <xf numFmtId="1" fontId="13" fillId="7" borderId="93" xfId="0" applyNumberFormat="1" applyFont="1" applyFill="1" applyBorder="1" applyAlignment="1">
      <alignment vertical="center" wrapText="1"/>
    </xf>
    <xf numFmtId="166" fontId="13" fillId="7" borderId="95" xfId="0" applyNumberFormat="1" applyFont="1" applyFill="1" applyBorder="1" applyAlignment="1">
      <alignment vertical="center"/>
    </xf>
    <xf numFmtId="164" fontId="2" fillId="0" borderId="72" xfId="0" applyNumberFormat="1" applyFont="1" applyFill="1" applyBorder="1" applyAlignment="1">
      <alignment horizontal="left"/>
    </xf>
    <xf numFmtId="164" fontId="2" fillId="0" borderId="68" xfId="0" applyNumberFormat="1" applyFont="1" applyFill="1" applyBorder="1" applyAlignment="1">
      <alignment horizontal="left"/>
    </xf>
    <xf numFmtId="3" fontId="2" fillId="0" borderId="0" xfId="0" applyFont="1" applyFill="1" applyAlignment="1">
      <alignment horizontal="left"/>
    </xf>
    <xf numFmtId="3" fontId="20" fillId="0" borderId="69" xfId="0" applyFont="1" applyFill="1" applyBorder="1"/>
    <xf numFmtId="3" fontId="32" fillId="0" borderId="70" xfId="0" applyNumberFormat="1" applyFont="1" applyFill="1" applyBorder="1"/>
    <xf numFmtId="164" fontId="20" fillId="0" borderId="71" xfId="0" applyNumberFormat="1" applyFont="1" applyBorder="1" applyAlignment="1">
      <alignment horizontal="right"/>
    </xf>
    <xf numFmtId="3" fontId="25" fillId="0" borderId="67" xfId="0" applyFont="1" applyFill="1" applyBorder="1"/>
    <xf numFmtId="3" fontId="25" fillId="0" borderId="61" xfId="0" applyNumberFormat="1" applyFont="1" applyFill="1" applyBorder="1" applyAlignment="1">
      <alignment horizontal="left"/>
    </xf>
    <xf numFmtId="3" fontId="25" fillId="0" borderId="84" xfId="0" applyFont="1" applyFill="1" applyBorder="1"/>
    <xf numFmtId="3" fontId="25" fillId="0" borderId="84" xfId="0" applyFont="1" applyFill="1" applyBorder="1" applyAlignment="1"/>
    <xf numFmtId="3" fontId="25" fillId="0" borderId="67" xfId="0" applyNumberFormat="1" applyFont="1" applyFill="1" applyBorder="1" applyAlignment="1">
      <alignment horizontal="left"/>
    </xf>
    <xf numFmtId="164" fontId="26" fillId="0" borderId="78" xfId="0" applyNumberFormat="1" applyFont="1" applyBorder="1" applyAlignment="1">
      <alignment horizontal="right"/>
    </xf>
    <xf numFmtId="3" fontId="7" fillId="0" borderId="18" xfId="1" applyNumberFormat="1" applyFont="1" applyFill="1" applyBorder="1"/>
    <xf numFmtId="3" fontId="9" fillId="0" borderId="22" xfId="0" applyFont="1" applyFill="1" applyBorder="1" applyAlignment="1">
      <alignment horizontal="right"/>
    </xf>
    <xf numFmtId="3" fontId="26" fillId="0" borderId="25" xfId="0" applyFont="1" applyFill="1" applyBorder="1" applyAlignment="1">
      <alignment horizontal="right"/>
    </xf>
    <xf numFmtId="3" fontId="13" fillId="0" borderId="55" xfId="0" applyFont="1" applyFill="1" applyBorder="1" applyAlignment="1">
      <alignment horizontal="right"/>
    </xf>
    <xf numFmtId="3" fontId="7" fillId="0" borderId="6" xfId="1" applyNumberFormat="1" applyFont="1" applyFill="1" applyBorder="1" applyProtection="1">
      <protection locked="0"/>
    </xf>
    <xf numFmtId="3" fontId="7" fillId="0" borderId="9" xfId="1" applyNumberFormat="1" applyFont="1" applyFill="1" applyBorder="1" applyProtection="1">
      <protection locked="0"/>
    </xf>
    <xf numFmtId="3" fontId="25" fillId="0" borderId="6" xfId="1" applyNumberFormat="1" applyFont="1" applyFill="1" applyBorder="1" applyAlignment="1">
      <alignment vertical="top"/>
    </xf>
    <xf numFmtId="3" fontId="9" fillId="0" borderId="21" xfId="0" applyFont="1" applyFill="1" applyBorder="1" applyAlignment="1">
      <alignment horizontal="right" vertical="top"/>
    </xf>
    <xf numFmtId="3" fontId="7" fillId="0" borderId="62" xfId="0" applyFont="1" applyFill="1" applyBorder="1"/>
    <xf numFmtId="164" fontId="7" fillId="0" borderId="75" xfId="0" applyNumberFormat="1" applyFont="1" applyFill="1" applyBorder="1"/>
    <xf numFmtId="3" fontId="7" fillId="0" borderId="77" xfId="0" applyFont="1" applyFill="1" applyBorder="1"/>
    <xf numFmtId="3" fontId="7" fillId="0" borderId="63" xfId="0" applyFont="1" applyFill="1" applyBorder="1"/>
    <xf numFmtId="164" fontId="7" fillId="0" borderId="78" xfId="0" applyNumberFormat="1" applyFont="1" applyFill="1" applyBorder="1"/>
    <xf numFmtId="3" fontId="9" fillId="0" borderId="62" xfId="0" applyNumberFormat="1" applyFont="1" applyFill="1" applyBorder="1"/>
    <xf numFmtId="3" fontId="13" fillId="0" borderId="52" xfId="0" applyFont="1" applyFill="1" applyBorder="1" applyAlignment="1">
      <alignment vertical="center"/>
    </xf>
    <xf numFmtId="3" fontId="9" fillId="0" borderId="61" xfId="0" applyNumberFormat="1" applyFont="1" applyFill="1" applyBorder="1"/>
    <xf numFmtId="3" fontId="25" fillId="0" borderId="63" xfId="0" applyNumberFormat="1" applyFont="1" applyFill="1" applyBorder="1" applyAlignment="1">
      <alignment horizontal="left"/>
    </xf>
    <xf numFmtId="3" fontId="9" fillId="0" borderId="67" xfId="0" applyNumberFormat="1" applyFont="1" applyFill="1" applyBorder="1"/>
    <xf numFmtId="3" fontId="25" fillId="0" borderId="77" xfId="0" applyNumberFormat="1" applyFont="1" applyFill="1" applyBorder="1" applyAlignment="1">
      <alignment horizontal="left"/>
    </xf>
    <xf numFmtId="3" fontId="8" fillId="0" borderId="69" xfId="0" applyNumberFormat="1" applyFont="1" applyFill="1" applyBorder="1"/>
    <xf numFmtId="3" fontId="7" fillId="0" borderId="64" xfId="0" applyNumberFormat="1" applyFont="1" applyFill="1" applyBorder="1"/>
    <xf numFmtId="164" fontId="7" fillId="0" borderId="79" xfId="0" applyNumberFormat="1" applyFont="1" applyFill="1" applyBorder="1" applyAlignment="1">
      <alignment horizontal="right"/>
    </xf>
    <xf numFmtId="3" fontId="25" fillId="0" borderId="64" xfId="0" applyNumberFormat="1" applyFont="1" applyFill="1" applyBorder="1" applyAlignment="1">
      <alignment horizontal="left"/>
    </xf>
    <xf numFmtId="164" fontId="25" fillId="0" borderId="79" xfId="0" applyNumberFormat="1" applyFont="1" applyFill="1" applyBorder="1" applyAlignment="1">
      <alignment horizontal="right"/>
    </xf>
    <xf numFmtId="3" fontId="7" fillId="0" borderId="61" xfId="0" applyNumberFormat="1" applyFont="1" applyFill="1" applyBorder="1"/>
    <xf numFmtId="164" fontId="7" fillId="0" borderId="76" xfId="0" applyNumberFormat="1" applyFont="1" applyFill="1" applyBorder="1" applyAlignment="1">
      <alignment horizontal="right"/>
    </xf>
    <xf numFmtId="3" fontId="7" fillId="0" borderId="76" xfId="0" applyNumberFormat="1" applyFont="1" applyFill="1" applyBorder="1"/>
    <xf numFmtId="3" fontId="7" fillId="0" borderId="74" xfId="0" applyNumberFormat="1" applyFont="1" applyFill="1" applyBorder="1"/>
    <xf numFmtId="3" fontId="7" fillId="0" borderId="62" xfId="0" applyNumberFormat="1" applyFont="1" applyFill="1" applyBorder="1"/>
    <xf numFmtId="164" fontId="7" fillId="0" borderId="75" xfId="0" applyNumberFormat="1" applyFont="1" applyFill="1" applyBorder="1" applyAlignment="1">
      <alignment horizontal="right"/>
    </xf>
    <xf numFmtId="3" fontId="7" fillId="0" borderId="67" xfId="0" applyNumberFormat="1" applyFont="1" applyFill="1" applyBorder="1"/>
    <xf numFmtId="164" fontId="7" fillId="0" borderId="78" xfId="0" applyNumberFormat="1" applyFont="1" applyFill="1" applyBorder="1" applyAlignment="1">
      <alignment horizontal="right"/>
    </xf>
    <xf numFmtId="164" fontId="25" fillId="0" borderId="76" xfId="0" applyNumberFormat="1" applyFont="1" applyFill="1" applyBorder="1" applyAlignment="1">
      <alignment horizontal="right"/>
    </xf>
    <xf numFmtId="3" fontId="7" fillId="0" borderId="77" xfId="0" applyNumberFormat="1" applyFont="1" applyFill="1" applyBorder="1"/>
    <xf numFmtId="3" fontId="7" fillId="0" borderId="63" xfId="0" applyNumberFormat="1" applyFont="1" applyFill="1" applyBorder="1"/>
    <xf numFmtId="3" fontId="20" fillId="7" borderId="46" xfId="0" applyFont="1" applyFill="1" applyBorder="1" applyAlignment="1">
      <alignment vertical="center"/>
    </xf>
    <xf numFmtId="3" fontId="20" fillId="7" borderId="27" xfId="0" applyFont="1" applyFill="1" applyBorder="1" applyAlignment="1">
      <alignment vertical="center"/>
    </xf>
    <xf numFmtId="164" fontId="20" fillId="7" borderId="47" xfId="0" applyNumberFormat="1" applyFont="1" applyFill="1" applyBorder="1" applyAlignment="1">
      <alignment vertical="center"/>
    </xf>
    <xf numFmtId="3" fontId="20" fillId="7" borderId="70" xfId="0" applyFont="1" applyFill="1" applyBorder="1" applyAlignment="1">
      <alignment vertical="center"/>
    </xf>
    <xf numFmtId="164" fontId="20" fillId="7" borderId="71" xfId="0" applyNumberFormat="1" applyFont="1" applyFill="1" applyBorder="1" applyAlignment="1">
      <alignment vertical="center"/>
    </xf>
    <xf numFmtId="166" fontId="20" fillId="7" borderId="52" xfId="0" applyNumberFormat="1" applyFont="1" applyFill="1" applyBorder="1" applyAlignment="1">
      <alignment vertical="center"/>
    </xf>
    <xf numFmtId="166" fontId="20" fillId="7" borderId="66" xfId="0" applyNumberFormat="1" applyFont="1" applyFill="1" applyBorder="1" applyAlignment="1">
      <alignment vertical="center"/>
    </xf>
    <xf numFmtId="3" fontId="7" fillId="0" borderId="84" xfId="0" applyNumberFormat="1" applyFont="1" applyFill="1" applyBorder="1"/>
    <xf numFmtId="3" fontId="20" fillId="7" borderId="69" xfId="0" applyFont="1" applyFill="1" applyBorder="1" applyAlignment="1">
      <alignment vertical="center"/>
    </xf>
    <xf numFmtId="166" fontId="20" fillId="7" borderId="93" xfId="0" applyNumberFormat="1" applyFont="1" applyFill="1" applyBorder="1" applyAlignment="1">
      <alignment vertical="center"/>
    </xf>
    <xf numFmtId="166" fontId="20" fillId="7" borderId="94" xfId="0" applyNumberFormat="1" applyFont="1" applyFill="1" applyBorder="1" applyAlignment="1">
      <alignment vertical="center"/>
    </xf>
    <xf numFmtId="164" fontId="7" fillId="0" borderId="75" xfId="0" applyNumberFormat="1" applyFont="1" applyBorder="1" applyAlignment="1">
      <alignment horizontal="right"/>
    </xf>
    <xf numFmtId="164" fontId="7" fillId="0" borderId="76" xfId="0" applyNumberFormat="1" applyFont="1" applyBorder="1" applyAlignment="1">
      <alignment horizontal="right"/>
    </xf>
    <xf numFmtId="164" fontId="25" fillId="0" borderId="79" xfId="0" applyNumberFormat="1" applyFont="1" applyBorder="1" applyAlignment="1">
      <alignment horizontal="right"/>
    </xf>
    <xf numFmtId="164" fontId="25" fillId="0" borderId="78" xfId="0" applyNumberFormat="1" applyFont="1" applyBorder="1" applyAlignment="1">
      <alignment horizontal="right"/>
    </xf>
    <xf numFmtId="3" fontId="32" fillId="0" borderId="52" xfId="0" applyNumberFormat="1" applyFont="1" applyFill="1" applyBorder="1"/>
    <xf numFmtId="164" fontId="20" fillId="0" borderId="53" xfId="0" applyNumberFormat="1" applyFont="1" applyBorder="1" applyAlignment="1">
      <alignment horizontal="right"/>
    </xf>
    <xf numFmtId="164" fontId="7" fillId="0" borderId="79" xfId="0" applyNumberFormat="1" applyFont="1" applyBorder="1" applyAlignment="1">
      <alignment horizontal="right"/>
    </xf>
    <xf numFmtId="3" fontId="32" fillId="0" borderId="69" xfId="0" applyNumberFormat="1" applyFont="1" applyFill="1" applyBorder="1"/>
    <xf numFmtId="3" fontId="20" fillId="0" borderId="66" xfId="0" applyFont="1" applyFill="1" applyBorder="1" applyAlignment="1">
      <alignment vertical="center"/>
    </xf>
    <xf numFmtId="3" fontId="20" fillId="0" borderId="52" xfId="0" applyFont="1" applyFill="1" applyBorder="1" applyAlignment="1">
      <alignment vertical="center"/>
    </xf>
    <xf numFmtId="164" fontId="20" fillId="7" borderId="53" xfId="0" applyNumberFormat="1" applyFont="1" applyFill="1" applyBorder="1" applyAlignment="1">
      <alignment vertical="center"/>
    </xf>
    <xf numFmtId="3" fontId="20" fillId="7" borderId="66" xfId="0" applyFont="1" applyFill="1" applyBorder="1" applyAlignment="1">
      <alignment vertical="center"/>
    </xf>
    <xf numFmtId="3" fontId="20" fillId="7" borderId="52" xfId="0" applyFont="1" applyFill="1" applyBorder="1" applyAlignment="1">
      <alignment vertical="center"/>
    </xf>
    <xf numFmtId="3" fontId="1" fillId="0" borderId="80" xfId="0" applyFont="1" applyFill="1" applyBorder="1" applyAlignment="1">
      <alignment horizontal="center"/>
    </xf>
    <xf numFmtId="3" fontId="1" fillId="0" borderId="81" xfId="0" applyFont="1" applyFill="1" applyBorder="1" applyAlignment="1">
      <alignment horizontal="center"/>
    </xf>
    <xf numFmtId="3" fontId="1" fillId="0" borderId="82" xfId="0" applyFont="1" applyFill="1" applyBorder="1" applyAlignment="1">
      <alignment horizontal="center"/>
    </xf>
    <xf numFmtId="3" fontId="1" fillId="0" borderId="87" xfId="0" applyFont="1" applyFill="1" applyBorder="1" applyAlignment="1">
      <alignment horizontal="center" vertical="center"/>
    </xf>
    <xf numFmtId="3" fontId="1" fillId="0" borderId="88" xfId="0" applyFont="1" applyFill="1" applyBorder="1" applyAlignment="1">
      <alignment horizontal="center" vertical="center"/>
    </xf>
    <xf numFmtId="3" fontId="1" fillId="0" borderId="89" xfId="0" applyFont="1" applyFill="1" applyBorder="1" applyAlignment="1">
      <alignment horizontal="center" vertical="center"/>
    </xf>
    <xf numFmtId="1" fontId="7" fillId="0" borderId="0" xfId="0" applyNumberFormat="1" applyFont="1" applyFill="1" applyAlignment="1">
      <alignment horizontal="justify" wrapText="1"/>
    </xf>
    <xf numFmtId="3" fontId="1" fillId="0" borderId="80" xfId="0" applyFont="1" applyFill="1" applyBorder="1" applyAlignment="1">
      <alignment horizontal="center" vertical="center"/>
    </xf>
    <xf numFmtId="3" fontId="1" fillId="0" borderId="81" xfId="0" applyFont="1" applyFill="1" applyBorder="1" applyAlignment="1">
      <alignment horizontal="center" vertical="center"/>
    </xf>
    <xf numFmtId="3" fontId="1" fillId="0" borderId="82" xfId="0" applyFont="1" applyFill="1" applyBorder="1" applyAlignment="1">
      <alignment horizontal="center" vertical="center"/>
    </xf>
    <xf numFmtId="3" fontId="0" fillId="0" borderId="0" xfId="0" applyFont="1" applyFill="1" applyAlignment="1">
      <alignment wrapText="1"/>
    </xf>
    <xf numFmtId="3" fontId="6" fillId="0" borderId="0" xfId="0" applyFont="1" applyFill="1"/>
    <xf numFmtId="1" fontId="9" fillId="0" borderId="36" xfId="1" applyNumberFormat="1" applyFont="1" applyFill="1" applyBorder="1" applyAlignment="1">
      <alignment horizontal="left" vertical="center"/>
    </xf>
    <xf numFmtId="1" fontId="9" fillId="0" borderId="37" xfId="1" applyNumberFormat="1" applyFont="1" applyFill="1" applyBorder="1" applyAlignment="1">
      <alignment horizontal="left" vertical="center"/>
    </xf>
    <xf numFmtId="0" fontId="30" fillId="0" borderId="36" xfId="1" applyFont="1" applyFill="1" applyBorder="1" applyAlignment="1"/>
    <xf numFmtId="0" fontId="30" fillId="0" borderId="37" xfId="1" applyFont="1" applyFill="1" applyBorder="1" applyAlignment="1"/>
    <xf numFmtId="0" fontId="18" fillId="0" borderId="0" xfId="1" applyFont="1" applyFill="1" applyAlignment="1">
      <alignment horizontal="left"/>
    </xf>
    <xf numFmtId="0" fontId="16" fillId="0" borderId="0" xfId="1" applyFont="1" applyFill="1" applyAlignment="1">
      <alignment horizontal="left"/>
    </xf>
    <xf numFmtId="0" fontId="18" fillId="0" borderId="0" xfId="1" applyFont="1" applyFill="1" applyAlignment="1">
      <alignment horizontal="center"/>
    </xf>
    <xf numFmtId="1" fontId="12" fillId="0" borderId="54" xfId="0" applyNumberFormat="1" applyFont="1" applyFill="1" applyBorder="1" applyAlignment="1">
      <alignment horizontal="left" wrapText="1"/>
    </xf>
    <xf numFmtId="3" fontId="0" fillId="0" borderId="18" xfId="0" applyFill="1" applyBorder="1" applyAlignment="1">
      <alignment wrapText="1"/>
    </xf>
    <xf numFmtId="1" fontId="13" fillId="7" borderId="58" xfId="0" applyNumberFormat="1" applyFont="1" applyFill="1" applyBorder="1" applyAlignment="1">
      <alignment horizontal="left" vertical="center" wrapText="1"/>
    </xf>
    <xf numFmtId="3" fontId="9" fillId="7" borderId="59" xfId="0" applyFont="1" applyFill="1" applyBorder="1" applyAlignment="1">
      <alignment vertical="center"/>
    </xf>
    <xf numFmtId="3" fontId="17" fillId="8" borderId="40" xfId="0" applyFont="1" applyFill="1" applyBorder="1" applyAlignment="1">
      <alignment horizontal="center" vertical="center" wrapText="1"/>
    </xf>
    <xf numFmtId="3" fontId="0" fillId="8" borderId="39" xfId="0" applyFill="1" applyBorder="1" applyAlignment="1">
      <alignment wrapText="1"/>
    </xf>
    <xf numFmtId="3" fontId="7" fillId="7" borderId="31" xfId="0" applyFont="1" applyFill="1" applyBorder="1" applyAlignment="1">
      <alignment wrapText="1"/>
    </xf>
    <xf numFmtId="3" fontId="0" fillId="7" borderId="29" xfId="0" applyFill="1" applyBorder="1" applyAlignment="1">
      <alignment wrapText="1"/>
    </xf>
    <xf numFmtId="3" fontId="7" fillId="7" borderId="7" xfId="0" applyFont="1" applyFill="1" applyBorder="1" applyAlignment="1">
      <alignment wrapText="1"/>
    </xf>
    <xf numFmtId="3" fontId="0" fillId="7" borderId="14" xfId="0" applyFill="1" applyBorder="1" applyAlignment="1">
      <alignment wrapText="1"/>
    </xf>
    <xf numFmtId="3" fontId="7" fillId="7" borderId="5" xfId="0" applyFont="1" applyFill="1" applyBorder="1" applyAlignment="1">
      <alignment wrapText="1"/>
    </xf>
    <xf numFmtId="3" fontId="0" fillId="7" borderId="6" xfId="0" applyFill="1" applyBorder="1" applyAlignment="1">
      <alignment wrapText="1"/>
    </xf>
    <xf numFmtId="1" fontId="5" fillId="8" borderId="17" xfId="0" applyNumberFormat="1" applyFont="1" applyFill="1" applyBorder="1" applyAlignment="1">
      <alignment horizontal="center"/>
    </xf>
    <xf numFmtId="3" fontId="5" fillId="8" borderId="38" xfId="0" applyFont="1" applyFill="1" applyBorder="1" applyAlignment="1">
      <alignment horizontal="center"/>
    </xf>
    <xf numFmtId="3" fontId="5" fillId="8" borderId="42" xfId="0" applyFont="1" applyFill="1" applyBorder="1" applyAlignment="1">
      <alignment horizontal="center"/>
    </xf>
    <xf numFmtId="1" fontId="45" fillId="0" borderId="0" xfId="0" applyNumberFormat="1" applyFont="1" applyFill="1" applyAlignment="1">
      <alignment horizontal="left"/>
    </xf>
    <xf numFmtId="3" fontId="0" fillId="0" borderId="38" xfId="0" applyFont="1" applyFill="1" applyBorder="1" applyAlignment="1">
      <alignment horizontal="right"/>
    </xf>
    <xf numFmtId="0" fontId="16" fillId="0" borderId="0" xfId="1" applyFill="1" applyAlignment="1">
      <alignment horizontal="left"/>
    </xf>
    <xf numFmtId="1" fontId="4" fillId="0" borderId="0" xfId="1" applyNumberFormat="1" applyFont="1" applyFill="1" applyBorder="1" applyAlignment="1">
      <alignment horizontal="left" vertical="top" wrapText="1"/>
    </xf>
    <xf numFmtId="3" fontId="0" fillId="0" borderId="0" xfId="0" applyBorder="1" applyAlignment="1">
      <alignment vertical="top" wrapText="1"/>
    </xf>
    <xf numFmtId="0" fontId="10" fillId="0" borderId="0" xfId="1" applyFont="1" applyFill="1" applyBorder="1" applyAlignment="1">
      <alignment wrapText="1"/>
    </xf>
    <xf numFmtId="1" fontId="5" fillId="0" borderId="17" xfId="0" applyNumberFormat="1" applyFont="1" applyFill="1" applyBorder="1" applyAlignment="1">
      <alignment horizontal="center"/>
    </xf>
    <xf numFmtId="3" fontId="5" fillId="0" borderId="38" xfId="0" applyFont="1" applyBorder="1" applyAlignment="1">
      <alignment horizontal="center"/>
    </xf>
    <xf numFmtId="3" fontId="5" fillId="0" borderId="42" xfId="0" applyFont="1" applyBorder="1" applyAlignment="1">
      <alignment horizontal="center"/>
    </xf>
  </cellXfs>
  <cellStyles count="4">
    <cellStyle name="Normální" xfId="0" builtinId="0"/>
    <cellStyle name="Normální 2 2" xfId="2"/>
    <cellStyle name="normální_Kopie - 8. - Závěrečný účet 2009 - Příloha č. 3 (výdaje)" xfId="1"/>
    <cellStyle name="Procenta" xfId="3" builtinId="5"/>
  </cellStyles>
  <dxfs count="0"/>
  <tableStyles count="0" defaultTableStyle="TableStyleMedium2" defaultPivotStyle="PivotStyleLight16"/>
  <colors>
    <mruColors>
      <color rgb="FF33CC33"/>
      <color rgb="FFCCFFFF"/>
      <color rgb="FF66FF66"/>
      <color rgb="FF66FF33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Rekapitulace příjmů a výdajů (po konsolidaci)</a:t>
            </a:r>
          </a:p>
        </c:rich>
      </c:tx>
      <c:layout>
        <c:manualLayout>
          <c:xMode val="edge"/>
          <c:yMode val="edge"/>
          <c:x val="0.22934380139969646"/>
          <c:y val="3.37079318541291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0.349533029290513"/>
          <c:y val="0.18258426966292135"/>
          <c:w val="0.62429963520337617"/>
          <c:h val="0.50280898876404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chemeClr val="tx2">
                  <a:lumMod val="50000"/>
                </a:schemeClr>
              </a:fgClr>
              <a:bgClr>
                <a:schemeClr val="bg1"/>
              </a:bgClr>
            </a:patt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'Rekapitulace OK - příloha č. 2'!$A$7:$A$8</c:f>
              <c:strCache>
                <c:ptCount val="2"/>
                <c:pt idx="0">
                  <c:v>Příjmy Olomouckého kraje po konsolidaci celkem</c:v>
                </c:pt>
                <c:pt idx="1">
                  <c:v>Výdaje Olomouckého kraje po konsolidaci celkem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5856392</c:v>
                </c:pt>
                <c:pt idx="1">
                  <c:v>5956051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F0-4E63-B025-57A6A93568A4}"/>
            </c:ext>
          </c:extLst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val="FF0000"/>
              </a:fgClr>
              <a:bgClr>
                <a:schemeClr val="bg1"/>
              </a:bgClr>
            </a:patt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'Rekapitulace OK - příloha č. 2'!$A$7:$A$8</c:f>
              <c:strCache>
                <c:ptCount val="2"/>
                <c:pt idx="0">
                  <c:v>Příjmy Olomouckého kraje po konsolidaci celkem</c:v>
                </c:pt>
                <c:pt idx="1">
                  <c:v>Výdaje Olomouckého kraje po konsolidaci celkem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19338054</c:v>
                </c:pt>
                <c:pt idx="1">
                  <c:v>19840824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F0-4E63-B025-57A6A93568A4}"/>
            </c:ext>
          </c:extLst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val="00B050"/>
              </a:fgClr>
              <a:bgClr>
                <a:schemeClr val="bg1"/>
              </a:bgClr>
            </a:patt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'Rekapitulace OK - příloha č. 2'!$A$7:$A$8</c:f>
              <c:strCache>
                <c:ptCount val="2"/>
                <c:pt idx="0">
                  <c:v>Příjmy Olomouckého kraje po konsolidaci celkem</c:v>
                </c:pt>
                <c:pt idx="1">
                  <c:v>Výdaje Olomouckého kraje po konsolidaci celkem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12835191</c:v>
                </c:pt>
                <c:pt idx="1">
                  <c:v>10651655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F0-4E63-B025-57A6A93568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9740288"/>
        <c:axId val="99561856"/>
      </c:barChart>
      <c:catAx>
        <c:axId val="9974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99561856"/>
        <c:crosses val="autoZero"/>
        <c:auto val="1"/>
        <c:lblAlgn val="ctr"/>
        <c:lblOffset val="100"/>
        <c:tickMarkSkip val="1"/>
        <c:noMultiLvlLbl val="0"/>
      </c:catAx>
      <c:valAx>
        <c:axId val="99561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9906475594294029E-2"/>
              <c:y val="0.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9974028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 alignWithMargins="0">
      <c:oddHeader>&amp;C&amp;"Arial CE,Kurzíva"&amp;8Příloha č. 2 - Plnění rozpočtu výdajů Olomouckého kraje k 31.5.2013</c:oddHeader>
      <c:oddFooter>&amp;L&amp;"Arial CE,Kurzíva"Rada Olomouckého kraje 18-06-2015
x.x.-Rozpočet Olomouckého kraje 2015-plnění rozpočtu k 31. 5. 2015
Příloha č.2-Plnění rozpočtu výdajů Olomouckého kraje k 31. 5. 2015&amp;R&amp;"Arial CE,Kurzíva"Strana &amp;P (Celkem 7)
</c:oddFooter>
    </c:headerFooter>
    <c:pageMargins b="0.78740157480314965" l="0.78740157480314965" r="0.78740157480314965" t="0.78740157480314965" header="0.51181102362204722" footer="0.51181102362204722"/>
    <c:pageSetup paperSize="9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vlastních příjmů a výdajů (po konsolidaci)</a:t>
            </a:r>
          </a:p>
        </c:rich>
      </c:tx>
      <c:layout>
        <c:manualLayout>
          <c:xMode val="edge"/>
          <c:yMode val="edge"/>
          <c:x val="0.13877572446301353"/>
          <c:y val="3.55029585798816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489830287219275"/>
          <c:y val="0.18343195266272189"/>
          <c:w val="0.62653123657848031"/>
          <c:h val="0.508875739644970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5856392</c:v>
                </c:pt>
                <c:pt idx="1">
                  <c:v>5956051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87-4718-B8FE-FAA54184AF3B}"/>
            </c:ext>
          </c:extLst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19338054</c:v>
                </c:pt>
                <c:pt idx="1">
                  <c:v>19840824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87-4718-B8FE-FAA54184AF3B}"/>
            </c:ext>
          </c:extLst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12835191</c:v>
                </c:pt>
                <c:pt idx="1">
                  <c:v>10651655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87-4718-B8FE-FAA54184AF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751872"/>
        <c:axId val="104753408"/>
      </c:barChart>
      <c:catAx>
        <c:axId val="104751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753408"/>
        <c:crosses val="autoZero"/>
        <c:auto val="1"/>
        <c:lblAlgn val="ctr"/>
        <c:lblOffset val="100"/>
        <c:tickMarkSkip val="1"/>
        <c:noMultiLvlLbl val="0"/>
      </c:catAx>
      <c:valAx>
        <c:axId val="104753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3.2653061224489799E-2"/>
              <c:y val="0.24556213017751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7518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příjmů a výdajů Olomouckého kraje celkem (po konsolidaci)</a:t>
            </a:r>
          </a:p>
        </c:rich>
      </c:tx>
      <c:layout>
        <c:manualLayout>
          <c:xMode val="edge"/>
          <c:yMode val="edge"/>
          <c:x val="0.15075394470163592"/>
          <c:y val="3.11004784688995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2663370013102644"/>
          <c:y val="0.15789492128499888"/>
          <c:w val="0.64991731102993977"/>
          <c:h val="0.564593960958480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List2!$A$33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List2!$B$33:$C$33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7D-40E5-ABB0-ACE6C34BF277}"/>
            </c:ext>
          </c:extLst>
        </c:ser>
        <c:ser>
          <c:idx val="1"/>
          <c:order val="1"/>
          <c:tx>
            <c:strRef>
              <c:f>List2!$A$34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List2!$B$34:$C$34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7D-40E5-ABB0-ACE6C34BF277}"/>
            </c:ext>
          </c:extLst>
        </c:ser>
        <c:ser>
          <c:idx val="2"/>
          <c:order val="2"/>
          <c:tx>
            <c:strRef>
              <c:f>List2!$A$35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List2!$B$35:$C$35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7D-40E5-ABB0-ACE6C34BF2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028224"/>
        <c:axId val="103029760"/>
      </c:barChart>
      <c:catAx>
        <c:axId val="103028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3029760"/>
        <c:crosses val="autoZero"/>
        <c:auto val="1"/>
        <c:lblAlgn val="ctr"/>
        <c:lblOffset val="100"/>
        <c:tickMarkSkip val="1"/>
        <c:noMultiLvlLbl val="0"/>
      </c:catAx>
      <c:valAx>
        <c:axId val="1030297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6800670016750419E-2"/>
              <c:y val="0.2846892463800876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30282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Rekapitulace vlastních příjmů a výdajů (po konsolidaci)</a:t>
            </a:r>
          </a:p>
        </c:rich>
      </c:tx>
      <c:layout>
        <c:manualLayout>
          <c:xMode val="edge"/>
          <c:yMode val="edge"/>
          <c:x val="0.13644887971891215"/>
          <c:y val="3.37078651685393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49533029290513"/>
          <c:y val="0.18258426966292135"/>
          <c:w val="0.62429963520337617"/>
          <c:h val="0.50280898876404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List2!$A$4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List2!$B$4:$C$4</c:f>
              <c:numCache>
                <c:formatCode>#,##0</c:formatCode>
                <c:ptCount val="2"/>
                <c:pt idx="0">
                  <c:v>5856392</c:v>
                </c:pt>
                <c:pt idx="1">
                  <c:v>5956051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A3-4D79-94CB-FBC8E9504FE1}"/>
            </c:ext>
          </c:extLst>
        </c:ser>
        <c:ser>
          <c:idx val="1"/>
          <c:order val="1"/>
          <c:tx>
            <c:strRef>
              <c:f>List2!$A$5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List2!$B$5:$C$5</c:f>
              <c:numCache>
                <c:formatCode>#,##0</c:formatCode>
                <c:ptCount val="2"/>
                <c:pt idx="0">
                  <c:v>19338054</c:v>
                </c:pt>
                <c:pt idx="1">
                  <c:v>19840824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A3-4D79-94CB-FBC8E9504FE1}"/>
            </c:ext>
          </c:extLst>
        </c:ser>
        <c:ser>
          <c:idx val="2"/>
          <c:order val="2"/>
          <c:tx>
            <c:strRef>
              <c:f>List2!$A$6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List2!$B$3:$C$3</c:f>
              <c:strCache>
                <c:ptCount val="2"/>
                <c:pt idx="0">
                  <c:v>příjmy vlastní</c:v>
                </c:pt>
                <c:pt idx="1">
                  <c:v>výdaje vlastní</c:v>
                </c:pt>
              </c:strCache>
            </c:strRef>
          </c:cat>
          <c:val>
            <c:numRef>
              <c:f>List2!$B$6:$C$6</c:f>
              <c:numCache>
                <c:formatCode>#,##0</c:formatCode>
                <c:ptCount val="2"/>
                <c:pt idx="0">
                  <c:v>12835191</c:v>
                </c:pt>
                <c:pt idx="1">
                  <c:v>10651655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A3-4D79-94CB-FBC8E9504F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144704"/>
        <c:axId val="105146240"/>
      </c:barChart>
      <c:catAx>
        <c:axId val="105144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5146240"/>
        <c:crosses val="autoZero"/>
        <c:auto val="1"/>
        <c:lblAlgn val="ctr"/>
        <c:lblOffset val="100"/>
        <c:tickMarkSkip val="1"/>
        <c:noMultiLvlLbl val="0"/>
      </c:catAx>
      <c:valAx>
        <c:axId val="1051462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2.9906475594294029E-2"/>
              <c:y val="0.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514470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78740157480314965" l="0.78740157480314965" r="0.78740157480314965" t="0.78740157480314965" header="0.51181102362204722" footer="0.51181102362204722"/>
    <c:pageSetup paperSize="9"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 sz="900" baseline="0"/>
              <a:t>Rekapitulace příjmů a výdajů Olomouckého kraje celkem (po konsolidaci)</a:t>
            </a:r>
          </a:p>
        </c:rich>
      </c:tx>
      <c:layout>
        <c:manualLayout>
          <c:xMode val="edge"/>
          <c:yMode val="edge"/>
          <c:x val="7.7054794520547948E-2"/>
          <c:y val="1.01165011049368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8253424657534248"/>
          <c:y val="0.10638311687468427"/>
          <c:w val="0.6404109589041096"/>
          <c:h val="0.523936850607820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List2!$A$33</c:f>
              <c:strCache>
                <c:ptCount val="1"/>
                <c:pt idx="0">
                  <c:v>schválený rozpočet</c:v>
                </c:pt>
              </c:strCache>
            </c:strRef>
          </c:tx>
          <c:spPr>
            <a:pattFill prst="dkVert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List2!$B$33:$C$33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A4-4C34-864D-29A076F46441}"/>
            </c:ext>
          </c:extLst>
        </c:ser>
        <c:ser>
          <c:idx val="1"/>
          <c:order val="1"/>
          <c:tx>
            <c:strRef>
              <c:f>List2!$A$34</c:f>
              <c:strCache>
                <c:ptCount val="1"/>
                <c:pt idx="0">
                  <c:v>upravený rozpočet</c:v>
                </c:pt>
              </c:strCache>
            </c:strRef>
          </c:tx>
          <c:spPr>
            <a:pattFill prst="dkHorz">
              <a:fgClr>
                <a:srgbClr xmlns:mc="http://schemas.openxmlformats.org/markup-compatibility/2006" xmlns:a14="http://schemas.microsoft.com/office/drawing/2010/main" val="993366" mc:Ignorable="a14" a14:legacySpreadsheetColorIndex="25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List2!$B$34:$C$34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A4-4C34-864D-29A076F46441}"/>
            </c:ext>
          </c:extLst>
        </c:ser>
        <c:ser>
          <c:idx val="2"/>
          <c:order val="2"/>
          <c:tx>
            <c:strRef>
              <c:f>List2!$A$35</c:f>
              <c:strCache>
                <c:ptCount val="1"/>
                <c:pt idx="0">
                  <c:v>skutečnost</c:v>
                </c:pt>
              </c:strCache>
            </c:strRef>
          </c:tx>
          <c:spPr>
            <a:pattFill prst="wdUpDiag">
              <a:fgClr>
                <a:srgbClr xmlns:mc="http://schemas.openxmlformats.org/markup-compatibility/2006" xmlns:a14="http://schemas.microsoft.com/office/drawing/2010/main" val="0000FF" mc:Ignorable="a14" a14:legacySpreadsheetColorIndex="12"/>
              </a:fgClr>
              <a:bgClr>
                <a:srgbClr xmlns:mc="http://schemas.openxmlformats.org/markup-compatibility/2006" xmlns:a14="http://schemas.microsoft.com/office/drawing/2010/main" val="FFFFCC" mc:Ignorable="a14" a14:legacySpreadsheetColorIndex="26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List2!$B$32:$C$32</c:f>
              <c:strCache>
                <c:ptCount val="2"/>
                <c:pt idx="0">
                  <c:v>příjmy Ol.kraje celkem</c:v>
                </c:pt>
                <c:pt idx="1">
                  <c:v>výdaje Ol.kraje celkem</c:v>
                </c:pt>
              </c:strCache>
            </c:strRef>
          </c:cat>
          <c:val>
            <c:numRef>
              <c:f>List2!$B$35:$C$35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A4-4C34-864D-29A076F464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992768"/>
        <c:axId val="104994304"/>
      </c:barChart>
      <c:catAx>
        <c:axId val="104992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994304"/>
        <c:crosses val="autoZero"/>
        <c:auto val="1"/>
        <c:lblAlgn val="ctr"/>
        <c:lblOffset val="100"/>
        <c:tickMarkSkip val="1"/>
        <c:noMultiLvlLbl val="0"/>
      </c:catAx>
      <c:valAx>
        <c:axId val="1049943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Příjmy a výdaje v tis. Kč</a:t>
                </a:r>
              </a:p>
            </c:rich>
          </c:tx>
          <c:layout>
            <c:manualLayout>
              <c:xMode val="edge"/>
              <c:yMode val="edge"/>
              <c:x val="8.5615937352093285E-3"/>
              <c:y val="0.1941492153906293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499276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</c:dTable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Footer>&amp;L&amp;"Arial CE,Kurzíva"Rada Olomouckého kraje 22-11-2011
4.3.-Rozpočet Olomouckého kraje 2011-plnění rozpočtu k 31. 10. 2011
Příloha č.2-Plnění rozpočtu výdajů Olomouckého kraje k 31. 10. 2011&amp;R&amp;"Arial CE,Kurzíva"Strana &amp;P (Celkem 6)
</c:oddFooter>
    </c:headerFooter>
    <c:pageMargins b="0.984251969" l="0.78740157499999996" r="0.78740157499999996" t="0.984251969" header="0.4921259845" footer="0.492125984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147204</xdr:colOff>
      <xdr:row>13</xdr:row>
      <xdr:rowOff>86591</xdr:rowOff>
    </xdr:from>
    <xdr:to>
      <xdr:col>7</xdr:col>
      <xdr:colOff>303067</xdr:colOff>
      <xdr:row>38</xdr:row>
      <xdr:rowOff>17318</xdr:rowOff>
    </xdr:to>
    <xdr:graphicFrame macro="">
      <xdr:nvGraphicFramePr>
        <xdr:cNvPr id="4874" name="graf 2">
          <a:extLst>
            <a:ext uri="{FF2B5EF4-FFF2-40B4-BE49-F238E27FC236}">
              <a16:creationId xmlns:a16="http://schemas.microsoft.com/office/drawing/2014/main" id="{00000000-0008-0000-0400-00000A13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561975</xdr:colOff>
      <xdr:row>7</xdr:row>
      <xdr:rowOff>0</xdr:rowOff>
    </xdr:from>
    <xdr:to>
      <xdr:col>5</xdr:col>
      <xdr:colOff>228600</xdr:colOff>
      <xdr:row>26</xdr:row>
      <xdr:rowOff>142875</xdr:rowOff>
    </xdr:to>
    <xdr:graphicFrame macro="">
      <xdr:nvGraphicFramePr>
        <xdr:cNvPr id="5899" name="graf 3">
          <a:extLst>
            <a:ext uri="{FF2B5EF4-FFF2-40B4-BE49-F238E27FC236}">
              <a16:creationId xmlns:a16="http://schemas.microsoft.com/office/drawing/2014/main" id="{00000000-0008-0000-0600-00000B1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133350</xdr:colOff>
      <xdr:row>37</xdr:row>
      <xdr:rowOff>47625</xdr:rowOff>
    </xdr:from>
    <xdr:to>
      <xdr:col>6</xdr:col>
      <xdr:colOff>209550</xdr:colOff>
      <xdr:row>61</xdr:row>
      <xdr:rowOff>142875</xdr:rowOff>
    </xdr:to>
    <xdr:graphicFrame macro="">
      <xdr:nvGraphicFramePr>
        <xdr:cNvPr id="5900" name="graf 4">
          <a:extLst>
            <a:ext uri="{FF2B5EF4-FFF2-40B4-BE49-F238E27FC236}">
              <a16:creationId xmlns:a16="http://schemas.microsoft.com/office/drawing/2014/main" id="{00000000-0008-0000-0600-00000C1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11</xdr:row>
      <xdr:rowOff>85725</xdr:rowOff>
    </xdr:from>
    <xdr:to>
      <xdr:col>5</xdr:col>
      <xdr:colOff>809625</xdr:colOff>
      <xdr:row>32</xdr:row>
      <xdr:rowOff>85725</xdr:rowOff>
    </xdr:to>
    <xdr:graphicFrame macro="">
      <xdr:nvGraphicFramePr>
        <xdr:cNvPr id="2" name="graf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44</xdr:row>
      <xdr:rowOff>19049</xdr:rowOff>
    </xdr:from>
    <xdr:to>
      <xdr:col>6</xdr:col>
      <xdr:colOff>219075</xdr:colOff>
      <xdr:row>65</xdr:row>
      <xdr:rowOff>114299</xdr:rowOff>
    </xdr:to>
    <xdr:graphicFrame macro="">
      <xdr:nvGraphicFramePr>
        <xdr:cNvPr id="3" name="graf 3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O58"/>
  <sheetViews>
    <sheetView showGridLines="0" tabSelected="1" view="pageBreakPreview" zoomScale="110" zoomScaleNormal="100" zoomScaleSheetLayoutView="110" workbookViewId="0">
      <selection activeCell="B33" sqref="B33:D33"/>
    </sheetView>
  </sheetViews>
  <sheetFormatPr defaultColWidth="9.140625" defaultRowHeight="12.75" x14ac:dyDescent="0.2"/>
  <cols>
    <col min="1" max="1" width="50.7109375" style="1" customWidth="1"/>
    <col min="2" max="2" width="15.7109375" style="1" customWidth="1"/>
    <col min="3" max="3" width="15.7109375" style="169" customWidth="1"/>
    <col min="4" max="4" width="12.7109375" style="169" customWidth="1"/>
    <col min="5" max="5" width="6.5703125" style="1" customWidth="1"/>
    <col min="6" max="6" width="2.5703125" style="1" customWidth="1"/>
    <col min="7" max="8" width="15.7109375" style="1" customWidth="1"/>
    <col min="9" max="9" width="12.7109375" style="1" customWidth="1"/>
    <col min="10" max="10" width="6.5703125" style="1" customWidth="1"/>
    <col min="11" max="11" width="2.140625" style="1" customWidth="1"/>
    <col min="12" max="13" width="15.7109375" style="1" customWidth="1"/>
    <col min="14" max="14" width="12.7109375" style="1" customWidth="1"/>
    <col min="15" max="15" width="8.140625" style="1" customWidth="1"/>
    <col min="16" max="16384" width="9.140625" style="1"/>
  </cols>
  <sheetData>
    <row r="1" spans="1:15" ht="20.25" x14ac:dyDescent="0.3">
      <c r="A1" s="366" t="s">
        <v>153</v>
      </c>
      <c r="B1" s="366"/>
      <c r="C1" s="366"/>
      <c r="D1" s="366"/>
      <c r="E1" s="366"/>
      <c r="F1" s="366"/>
    </row>
    <row r="2" spans="1:15" ht="13.5" thickBot="1" x14ac:dyDescent="0.25">
      <c r="O2" s="2" t="s">
        <v>0</v>
      </c>
    </row>
    <row r="3" spans="1:15" ht="17.100000000000001" customHeight="1" thickBot="1" x14ac:dyDescent="0.25">
      <c r="B3" s="508" t="s">
        <v>131</v>
      </c>
      <c r="C3" s="509"/>
      <c r="D3" s="509"/>
      <c r="E3" s="510"/>
      <c r="F3" s="374"/>
      <c r="G3" s="504" t="s">
        <v>132</v>
      </c>
      <c r="H3" s="505"/>
      <c r="I3" s="505"/>
      <c r="J3" s="506"/>
      <c r="K3" s="374"/>
      <c r="L3" s="501" t="s">
        <v>133</v>
      </c>
      <c r="M3" s="502"/>
      <c r="N3" s="502"/>
      <c r="O3" s="503"/>
    </row>
    <row r="4" spans="1:15" s="364" customFormat="1" ht="20.100000000000001" customHeight="1" x14ac:dyDescent="0.2">
      <c r="A4" s="396" t="s">
        <v>1</v>
      </c>
      <c r="B4" s="392" t="s">
        <v>11</v>
      </c>
      <c r="C4" s="392" t="s">
        <v>12</v>
      </c>
      <c r="D4" s="392" t="s">
        <v>4</v>
      </c>
      <c r="E4" s="393" t="s">
        <v>5</v>
      </c>
      <c r="F4" s="378"/>
      <c r="G4" s="398" t="s">
        <v>11</v>
      </c>
      <c r="H4" s="392" t="s">
        <v>12</v>
      </c>
      <c r="I4" s="392" t="s">
        <v>4</v>
      </c>
      <c r="J4" s="393" t="s">
        <v>5</v>
      </c>
      <c r="K4" s="378"/>
      <c r="L4" s="398" t="s">
        <v>11</v>
      </c>
      <c r="M4" s="392" t="s">
        <v>12</v>
      </c>
      <c r="N4" s="392" t="s">
        <v>4</v>
      </c>
      <c r="O4" s="393" t="s">
        <v>5</v>
      </c>
    </row>
    <row r="5" spans="1:15" s="4" customFormat="1" ht="12" thickBot="1" x14ac:dyDescent="0.25">
      <c r="A5" s="397">
        <v>1</v>
      </c>
      <c r="B5" s="361">
        <v>2</v>
      </c>
      <c r="C5" s="361">
        <v>3</v>
      </c>
      <c r="D5" s="361">
        <v>4</v>
      </c>
      <c r="E5" s="395" t="s">
        <v>96</v>
      </c>
      <c r="F5" s="379"/>
      <c r="G5" s="400">
        <v>6</v>
      </c>
      <c r="H5" s="401">
        <v>7</v>
      </c>
      <c r="I5" s="401">
        <v>8</v>
      </c>
      <c r="J5" s="402" t="s">
        <v>137</v>
      </c>
      <c r="K5" s="379"/>
      <c r="L5" s="404">
        <v>10</v>
      </c>
      <c r="M5" s="361">
        <v>11</v>
      </c>
      <c r="N5" s="361">
        <v>12</v>
      </c>
      <c r="O5" s="395" t="s">
        <v>140</v>
      </c>
    </row>
    <row r="6" spans="1:15" ht="15" thickTop="1" x14ac:dyDescent="0.2">
      <c r="A6" s="394" t="s">
        <v>148</v>
      </c>
      <c r="B6" s="462">
        <f>SUM(B7:B10)</f>
        <v>4997689</v>
      </c>
      <c r="C6" s="462">
        <f t="shared" ref="C6" si="0">SUM(C7:C10)</f>
        <v>4879493</v>
      </c>
      <c r="D6" s="462">
        <f>SUM(D7:D10)</f>
        <v>2462212</v>
      </c>
      <c r="E6" s="463">
        <f t="shared" ref="E6:E16" si="1">(D6/C6)*100</f>
        <v>50.460406439767411</v>
      </c>
      <c r="F6" s="380"/>
      <c r="G6" s="469">
        <f>G7+G8</f>
        <v>4963689</v>
      </c>
      <c r="H6" s="470">
        <f>H7+H8</f>
        <v>4845493</v>
      </c>
      <c r="I6" s="470">
        <f>I7+I8</f>
        <v>2428081</v>
      </c>
      <c r="J6" s="471">
        <f>(I6/H6)*100</f>
        <v>50.110091996830874</v>
      </c>
      <c r="K6" s="405"/>
      <c r="L6" s="469">
        <v>34000</v>
      </c>
      <c r="M6" s="470">
        <v>34000</v>
      </c>
      <c r="N6" s="470">
        <v>34131</v>
      </c>
      <c r="O6" s="471">
        <f>(N6/M6)*100</f>
        <v>100.38529411764705</v>
      </c>
    </row>
    <row r="7" spans="1:15" ht="14.25" x14ac:dyDescent="0.2">
      <c r="A7" s="436" t="s">
        <v>127</v>
      </c>
      <c r="B7" s="437">
        <f>1350341+20255+128283+796701+2666924</f>
        <v>4962504</v>
      </c>
      <c r="C7" s="437">
        <f>864534+27000+135000+857470+9804+2950500</f>
        <v>4844308</v>
      </c>
      <c r="D7" s="464">
        <f>401394+14554+69608+594967+9804+1337222</f>
        <v>2427549</v>
      </c>
      <c r="E7" s="465">
        <f t="shared" si="1"/>
        <v>50.111367815588935</v>
      </c>
      <c r="F7" s="380"/>
      <c r="G7" s="437">
        <f>1350341+20255+128283+796701+2666924</f>
        <v>4962504</v>
      </c>
      <c r="H7" s="437">
        <f>864534+27000+135000+857470+9804+2950500</f>
        <v>4844308</v>
      </c>
      <c r="I7" s="464">
        <f>401394+14554+69608+594967+9804+1337222</f>
        <v>2427549</v>
      </c>
      <c r="J7" s="465">
        <f>(I7/H7)*100</f>
        <v>50.111367815588935</v>
      </c>
      <c r="K7" s="405"/>
      <c r="L7" s="437">
        <v>0</v>
      </c>
      <c r="M7" s="437">
        <v>0</v>
      </c>
      <c r="N7" s="464">
        <v>0</v>
      </c>
      <c r="O7" s="465">
        <v>0</v>
      </c>
    </row>
    <row r="8" spans="1:15" ht="14.25" x14ac:dyDescent="0.2">
      <c r="A8" s="436" t="s">
        <v>128</v>
      </c>
      <c r="B8" s="437">
        <v>1185</v>
      </c>
      <c r="C8" s="437">
        <v>1185</v>
      </c>
      <c r="D8" s="464">
        <v>532</v>
      </c>
      <c r="E8" s="465">
        <f t="shared" si="1"/>
        <v>44.894514767932492</v>
      </c>
      <c r="F8" s="380"/>
      <c r="G8" s="437">
        <v>1185</v>
      </c>
      <c r="H8" s="437">
        <v>1185</v>
      </c>
      <c r="I8" s="464">
        <v>532</v>
      </c>
      <c r="J8" s="465">
        <f>(I8/H8)*100</f>
        <v>44.894514767932492</v>
      </c>
      <c r="K8" s="405"/>
      <c r="L8" s="437">
        <v>0</v>
      </c>
      <c r="M8" s="437">
        <v>0</v>
      </c>
      <c r="N8" s="464">
        <v>0</v>
      </c>
      <c r="O8" s="465">
        <v>0</v>
      </c>
    </row>
    <row r="9" spans="1:15" ht="14.25" x14ac:dyDescent="0.2">
      <c r="A9" s="438" t="s">
        <v>144</v>
      </c>
      <c r="B9" s="437">
        <f>L9</f>
        <v>4000</v>
      </c>
      <c r="C9" s="437">
        <f t="shared" ref="C9:D10" si="2">M9</f>
        <v>4000</v>
      </c>
      <c r="D9" s="437">
        <f t="shared" si="2"/>
        <v>2393</v>
      </c>
      <c r="E9" s="465">
        <f t="shared" si="1"/>
        <v>59.824999999999996</v>
      </c>
      <c r="F9" s="380"/>
      <c r="G9" s="437">
        <v>0</v>
      </c>
      <c r="H9" s="437">
        <v>0</v>
      </c>
      <c r="I9" s="464">
        <v>0</v>
      </c>
      <c r="J9" s="465">
        <v>0</v>
      </c>
      <c r="K9" s="405"/>
      <c r="L9" s="437">
        <v>4000</v>
      </c>
      <c r="M9" s="437">
        <v>4000</v>
      </c>
      <c r="N9" s="464">
        <v>2393</v>
      </c>
      <c r="O9" s="465">
        <f>(N9/M9)*100</f>
        <v>59.824999999999996</v>
      </c>
    </row>
    <row r="10" spans="1:15" ht="14.25" x14ac:dyDescent="0.2">
      <c r="A10" s="439" t="s">
        <v>145</v>
      </c>
      <c r="B10" s="437">
        <f>L10</f>
        <v>30000</v>
      </c>
      <c r="C10" s="437">
        <f t="shared" si="2"/>
        <v>30000</v>
      </c>
      <c r="D10" s="437">
        <f t="shared" si="2"/>
        <v>31738</v>
      </c>
      <c r="E10" s="465">
        <f t="shared" si="1"/>
        <v>105.79333333333334</v>
      </c>
      <c r="F10" s="380"/>
      <c r="G10" s="437">
        <v>0</v>
      </c>
      <c r="H10" s="437">
        <v>0</v>
      </c>
      <c r="I10" s="464">
        <v>0</v>
      </c>
      <c r="J10" s="465">
        <v>0</v>
      </c>
      <c r="K10" s="405"/>
      <c r="L10" s="437">
        <v>30000</v>
      </c>
      <c r="M10" s="437">
        <v>30000</v>
      </c>
      <c r="N10" s="464">
        <v>31738</v>
      </c>
      <c r="O10" s="465">
        <f>(N10/M10)*100</f>
        <v>105.79333333333334</v>
      </c>
    </row>
    <row r="11" spans="1:15" ht="14.25" x14ac:dyDescent="0.2">
      <c r="A11" s="394" t="s">
        <v>149</v>
      </c>
      <c r="B11" s="466">
        <v>489242</v>
      </c>
      <c r="C11" s="466">
        <v>595561</v>
      </c>
      <c r="D11" s="466">
        <v>409337</v>
      </c>
      <c r="E11" s="467">
        <f t="shared" si="1"/>
        <v>68.731330627761054</v>
      </c>
      <c r="F11" s="380"/>
      <c r="G11" s="472">
        <f>B11-L11</f>
        <v>488938</v>
      </c>
      <c r="H11" s="466">
        <f>C11-M11</f>
        <v>576502</v>
      </c>
      <c r="I11" s="466">
        <f>D11-N11</f>
        <v>390425</v>
      </c>
      <c r="J11" s="468">
        <f t="shared" ref="J11:J16" si="3">(I11/H11)*100</f>
        <v>67.72309549663315</v>
      </c>
      <c r="K11" s="405"/>
      <c r="L11" s="472">
        <f>4+300</f>
        <v>304</v>
      </c>
      <c r="M11" s="466">
        <f>4+150+18905</f>
        <v>19059</v>
      </c>
      <c r="N11" s="466">
        <f>1+6+18905</f>
        <v>18912</v>
      </c>
      <c r="O11" s="467">
        <f>(N11/M11)*100</f>
        <v>99.228710845269958</v>
      </c>
    </row>
    <row r="12" spans="1:15" ht="14.25" x14ac:dyDescent="0.2">
      <c r="A12" s="386" t="s">
        <v>104</v>
      </c>
      <c r="B12" s="466">
        <v>8355</v>
      </c>
      <c r="C12" s="466">
        <v>8399</v>
      </c>
      <c r="D12" s="466">
        <v>116</v>
      </c>
      <c r="E12" s="467">
        <f t="shared" si="1"/>
        <v>1.3811167996190021</v>
      </c>
      <c r="F12" s="380"/>
      <c r="G12" s="472">
        <v>8355</v>
      </c>
      <c r="H12" s="466">
        <v>8399</v>
      </c>
      <c r="I12" s="466">
        <v>116</v>
      </c>
      <c r="J12" s="468">
        <f t="shared" si="3"/>
        <v>1.3811167996190021</v>
      </c>
      <c r="K12" s="405"/>
      <c r="L12" s="472">
        <v>0</v>
      </c>
      <c r="M12" s="466">
        <v>0</v>
      </c>
      <c r="N12" s="466">
        <v>0</v>
      </c>
      <c r="O12" s="467">
        <v>0</v>
      </c>
    </row>
    <row r="13" spans="1:15" ht="14.25" x14ac:dyDescent="0.2">
      <c r="A13" s="386" t="s">
        <v>150</v>
      </c>
      <c r="B13" s="466">
        <f>G13+L13</f>
        <v>361106</v>
      </c>
      <c r="C13" s="466">
        <f>H13+M13</f>
        <v>13854601</v>
      </c>
      <c r="D13" s="466">
        <f>I13+N13</f>
        <v>9963526</v>
      </c>
      <c r="E13" s="467">
        <f t="shared" si="1"/>
        <v>71.914925590422996</v>
      </c>
      <c r="F13" s="380"/>
      <c r="G13" s="472">
        <v>361106</v>
      </c>
      <c r="H13" s="466">
        <v>724321</v>
      </c>
      <c r="I13" s="466">
        <v>526018</v>
      </c>
      <c r="J13" s="468">
        <f t="shared" si="3"/>
        <v>72.622221363180145</v>
      </c>
      <c r="K13" s="405"/>
      <c r="L13" s="472">
        <v>0</v>
      </c>
      <c r="M13" s="466">
        <f>13113652+16628</f>
        <v>13130280</v>
      </c>
      <c r="N13" s="466">
        <f>9419935+17573</f>
        <v>9437508</v>
      </c>
      <c r="O13" s="467">
        <f>(N13/M13)*100</f>
        <v>71.87590820607025</v>
      </c>
    </row>
    <row r="14" spans="1:15" s="432" customFormat="1" ht="14.25" x14ac:dyDescent="0.2">
      <c r="A14" s="367" t="s">
        <v>141</v>
      </c>
      <c r="B14" s="437">
        <f t="shared" ref="B14:C15" si="4">G14+L14</f>
        <v>122749</v>
      </c>
      <c r="C14" s="437">
        <f t="shared" si="4"/>
        <v>12859518</v>
      </c>
      <c r="D14" s="437">
        <f>I14+N14</f>
        <v>9280634</v>
      </c>
      <c r="E14" s="474">
        <f t="shared" si="1"/>
        <v>72.169376799348157</v>
      </c>
      <c r="F14" s="430"/>
      <c r="G14" s="440">
        <f>G13-G15</f>
        <v>122749</v>
      </c>
      <c r="H14" s="437">
        <f>H13-H15</f>
        <v>147934</v>
      </c>
      <c r="I14" s="437">
        <f t="shared" ref="I14" si="5">I13-I15</f>
        <v>86561</v>
      </c>
      <c r="J14" s="474">
        <f t="shared" si="3"/>
        <v>58.513255911419961</v>
      </c>
      <c r="K14" s="431"/>
      <c r="L14" s="440">
        <f>L13-L15</f>
        <v>0</v>
      </c>
      <c r="M14" s="437">
        <f>M13-M15</f>
        <v>12711584</v>
      </c>
      <c r="N14" s="437">
        <f>N13-N15</f>
        <v>9194073</v>
      </c>
      <c r="O14" s="474">
        <f>(N14/M14)*100</f>
        <v>72.328303065927898</v>
      </c>
    </row>
    <row r="15" spans="1:15" s="432" customFormat="1" ht="15" thickBot="1" x14ac:dyDescent="0.25">
      <c r="A15" s="391" t="s">
        <v>142</v>
      </c>
      <c r="B15" s="437">
        <f t="shared" si="4"/>
        <v>238357</v>
      </c>
      <c r="C15" s="437">
        <f t="shared" si="4"/>
        <v>995083</v>
      </c>
      <c r="D15" s="437">
        <f t="shared" ref="D15" si="6">I15+N15</f>
        <v>682892</v>
      </c>
      <c r="E15" s="474">
        <f t="shared" si="1"/>
        <v>68.626637174989426</v>
      </c>
      <c r="F15" s="430"/>
      <c r="G15" s="460">
        <f>8560+2051+201604+26142</f>
        <v>238357</v>
      </c>
      <c r="H15" s="458">
        <f>11275+26799+2051+506818+29370+74</f>
        <v>576387</v>
      </c>
      <c r="I15" s="458">
        <f>11275+22309+379658+26215</f>
        <v>439457</v>
      </c>
      <c r="J15" s="474">
        <f t="shared" si="3"/>
        <v>76.24339202653772</v>
      </c>
      <c r="K15" s="431"/>
      <c r="L15" s="460">
        <v>0</v>
      </c>
      <c r="M15" s="458">
        <f>382674+34025+1997</f>
        <v>418696</v>
      </c>
      <c r="N15" s="458">
        <f>207413+34025+1997</f>
        <v>243435</v>
      </c>
      <c r="O15" s="474">
        <f>(N15/M15)*100</f>
        <v>58.141228958480617</v>
      </c>
    </row>
    <row r="16" spans="1:15" ht="18.95" customHeight="1" thickTop="1" thickBot="1" x14ac:dyDescent="0.3">
      <c r="A16" s="433" t="s">
        <v>8</v>
      </c>
      <c r="B16" s="434">
        <f>B6+B11+B12+B13</f>
        <v>5856392</v>
      </c>
      <c r="C16" s="434">
        <f>C6+C11+C12+C13</f>
        <v>19338054</v>
      </c>
      <c r="D16" s="434">
        <f>D6+D11+D12+D13</f>
        <v>12835191</v>
      </c>
      <c r="E16" s="435">
        <f t="shared" si="1"/>
        <v>66.372712580076566</v>
      </c>
      <c r="F16" s="381"/>
      <c r="G16" s="434">
        <f>G6+G11+G12+G13</f>
        <v>5822088</v>
      </c>
      <c r="H16" s="434">
        <f>H6+H11+H12+H13</f>
        <v>6154715</v>
      </c>
      <c r="I16" s="434">
        <f>I6+I11+I12+I13</f>
        <v>3344640</v>
      </c>
      <c r="J16" s="435">
        <f t="shared" si="3"/>
        <v>54.342727486163042</v>
      </c>
      <c r="K16" s="381"/>
      <c r="L16" s="373">
        <f>L6+L11+L12+L13</f>
        <v>34304</v>
      </c>
      <c r="M16" s="373">
        <f t="shared" ref="M16" si="7">M6+M11+M12+M13</f>
        <v>13183339</v>
      </c>
      <c r="N16" s="373">
        <f>N6+N11+N12+N13</f>
        <v>9490551</v>
      </c>
      <c r="O16" s="372">
        <f>(N16/M16)*100</f>
        <v>71.988977906128341</v>
      </c>
    </row>
    <row r="17" spans="1:15" ht="13.5" thickBot="1" x14ac:dyDescent="0.25">
      <c r="A17" s="410"/>
      <c r="B17" s="410"/>
      <c r="C17" s="411"/>
      <c r="D17" s="411"/>
      <c r="E17" s="410"/>
      <c r="F17" s="384"/>
      <c r="G17" s="399"/>
      <c r="H17" s="399"/>
      <c r="I17" s="399"/>
      <c r="J17" s="399"/>
      <c r="K17" s="13"/>
      <c r="L17" s="399"/>
      <c r="M17" s="399"/>
      <c r="N17" s="399"/>
      <c r="O17" s="399"/>
    </row>
    <row r="18" spans="1:15" ht="20.100000000000001" customHeight="1" x14ac:dyDescent="0.2">
      <c r="A18" s="396" t="s">
        <v>92</v>
      </c>
      <c r="B18" s="407" t="s">
        <v>11</v>
      </c>
      <c r="C18" s="407" t="s">
        <v>12</v>
      </c>
      <c r="D18" s="407" t="s">
        <v>4</v>
      </c>
      <c r="E18" s="408" t="s">
        <v>5</v>
      </c>
      <c r="F18" s="382"/>
      <c r="G18" s="409" t="s">
        <v>11</v>
      </c>
      <c r="H18" s="407" t="s">
        <v>12</v>
      </c>
      <c r="I18" s="407" t="s">
        <v>4</v>
      </c>
      <c r="J18" s="408" t="s">
        <v>5</v>
      </c>
      <c r="K18" s="382"/>
      <c r="L18" s="409" t="s">
        <v>11</v>
      </c>
      <c r="M18" s="407" t="s">
        <v>12</v>
      </c>
      <c r="N18" s="407" t="s">
        <v>4</v>
      </c>
      <c r="O18" s="408" t="s">
        <v>5</v>
      </c>
    </row>
    <row r="19" spans="1:15" ht="13.5" thickBot="1" x14ac:dyDescent="0.25">
      <c r="A19" s="397">
        <v>1</v>
      </c>
      <c r="B19" s="361">
        <v>2</v>
      </c>
      <c r="C19" s="361">
        <v>3</v>
      </c>
      <c r="D19" s="361">
        <v>4</v>
      </c>
      <c r="E19" s="395" t="s">
        <v>96</v>
      </c>
      <c r="F19" s="383"/>
      <c r="G19" s="404">
        <v>6</v>
      </c>
      <c r="H19" s="361">
        <v>7</v>
      </c>
      <c r="I19" s="361">
        <v>8</v>
      </c>
      <c r="J19" s="395" t="s">
        <v>137</v>
      </c>
      <c r="K19" s="383"/>
      <c r="L19" s="404">
        <v>10</v>
      </c>
      <c r="M19" s="361">
        <v>11</v>
      </c>
      <c r="N19" s="361">
        <v>12</v>
      </c>
      <c r="O19" s="395" t="s">
        <v>140</v>
      </c>
    </row>
    <row r="20" spans="1:15" s="365" customFormat="1" ht="15.75" thickTop="1" x14ac:dyDescent="0.25">
      <c r="A20" s="425" t="s">
        <v>113</v>
      </c>
      <c r="B20" s="462">
        <f>4808116</f>
        <v>4808116</v>
      </c>
      <c r="C20" s="462">
        <f>17755719</f>
        <v>17755719</v>
      </c>
      <c r="D20" s="462">
        <v>9859132</v>
      </c>
      <c r="E20" s="463">
        <f t="shared" ref="E20:E27" si="8">(D20/C20)*100</f>
        <v>55.526515147035163</v>
      </c>
      <c r="F20" s="381"/>
      <c r="G20" s="462">
        <f>B20-L20</f>
        <v>4797054</v>
      </c>
      <c r="H20" s="462">
        <f>C20-M20</f>
        <v>4958941</v>
      </c>
      <c r="I20" s="462">
        <f>D20-N20</f>
        <v>2566078</v>
      </c>
      <c r="J20" s="463">
        <f t="shared" ref="J20:J27" si="9">(I20/H20)*100</f>
        <v>51.746491841705719</v>
      </c>
      <c r="K20" s="381"/>
      <c r="L20" s="484">
        <f>SUM(L21:L25)</f>
        <v>11062</v>
      </c>
      <c r="M20" s="462">
        <f>SUM(M21:M25)</f>
        <v>12796778</v>
      </c>
      <c r="N20" s="462">
        <f>SUM(N21:N25)</f>
        <v>7293054</v>
      </c>
      <c r="O20" s="463">
        <f>(N20/M20)*100</f>
        <v>56.991330161389065</v>
      </c>
    </row>
    <row r="21" spans="1:15" ht="14.25" x14ac:dyDescent="0.2">
      <c r="A21" s="367" t="s">
        <v>138</v>
      </c>
      <c r="B21" s="437">
        <f>G21+L21</f>
        <v>383819</v>
      </c>
      <c r="C21" s="437">
        <f>H21+M21</f>
        <v>322485</v>
      </c>
      <c r="D21" s="437">
        <f>I21+N21</f>
        <v>183917</v>
      </c>
      <c r="E21" s="465">
        <f t="shared" si="8"/>
        <v>57.031179744794336</v>
      </c>
      <c r="F21" s="376"/>
      <c r="G21" s="440">
        <v>372757</v>
      </c>
      <c r="H21" s="437">
        <v>311203</v>
      </c>
      <c r="I21" s="437">
        <v>178794</v>
      </c>
      <c r="J21" s="474">
        <f t="shared" si="9"/>
        <v>57.452530984598482</v>
      </c>
      <c r="K21" s="390"/>
      <c r="L21" s="440">
        <v>11062</v>
      </c>
      <c r="M21" s="437">
        <v>11282</v>
      </c>
      <c r="N21" s="437">
        <v>5123</v>
      </c>
      <c r="O21" s="474">
        <f>(N21/M21)*100</f>
        <v>45.40861549370679</v>
      </c>
    </row>
    <row r="22" spans="1:15" ht="14.25" x14ac:dyDescent="0.2">
      <c r="A22" s="367" t="s">
        <v>129</v>
      </c>
      <c r="B22" s="437">
        <f>G22+L22</f>
        <v>1993026</v>
      </c>
      <c r="C22" s="437">
        <f t="shared" ref="C22:D24" si="10">H22+M22</f>
        <v>1987011</v>
      </c>
      <c r="D22" s="437">
        <f t="shared" si="10"/>
        <v>1046554</v>
      </c>
      <c r="E22" s="465">
        <f t="shared" si="8"/>
        <v>52.669763780874888</v>
      </c>
      <c r="F22" s="376"/>
      <c r="G22" s="440">
        <v>1993026</v>
      </c>
      <c r="H22" s="437">
        <v>1987011</v>
      </c>
      <c r="I22" s="437">
        <v>1046554</v>
      </c>
      <c r="J22" s="474">
        <f t="shared" si="9"/>
        <v>52.669763780874888</v>
      </c>
      <c r="K22" s="390"/>
      <c r="L22" s="440">
        <v>0</v>
      </c>
      <c r="M22" s="437">
        <v>0</v>
      </c>
      <c r="N22" s="437">
        <v>0</v>
      </c>
      <c r="O22" s="474">
        <v>0</v>
      </c>
    </row>
    <row r="23" spans="1:15" ht="14.25" customHeight="1" x14ac:dyDescent="0.2">
      <c r="A23" s="368" t="s">
        <v>139</v>
      </c>
      <c r="B23" s="437">
        <f>G23+L23</f>
        <v>1462292</v>
      </c>
      <c r="C23" s="437">
        <f t="shared" si="10"/>
        <v>1542980</v>
      </c>
      <c r="D23" s="437">
        <f t="shared" si="10"/>
        <v>999611</v>
      </c>
      <c r="E23" s="465">
        <f t="shared" si="8"/>
        <v>64.784443090642782</v>
      </c>
      <c r="F23" s="376"/>
      <c r="G23" s="440">
        <v>1462292</v>
      </c>
      <c r="H23" s="437">
        <v>1542980</v>
      </c>
      <c r="I23" s="437">
        <v>999611</v>
      </c>
      <c r="J23" s="474">
        <f t="shared" si="9"/>
        <v>64.784443090642782</v>
      </c>
      <c r="K23" s="389"/>
      <c r="L23" s="440">
        <v>0</v>
      </c>
      <c r="M23" s="437">
        <v>0</v>
      </c>
      <c r="N23" s="437">
        <v>0</v>
      </c>
      <c r="O23" s="474">
        <v>0</v>
      </c>
    </row>
    <row r="24" spans="1:15" ht="14.25" x14ac:dyDescent="0.2">
      <c r="A24" s="367" t="s">
        <v>146</v>
      </c>
      <c r="B24" s="437">
        <f>G24+L24</f>
        <v>394375</v>
      </c>
      <c r="C24" s="437">
        <f t="shared" si="10"/>
        <v>412954</v>
      </c>
      <c r="D24" s="437">
        <f t="shared" si="10"/>
        <v>161338</v>
      </c>
      <c r="E24" s="465">
        <f t="shared" si="8"/>
        <v>39.069242579076601</v>
      </c>
      <c r="F24" s="376"/>
      <c r="G24" s="440">
        <f>391080+801+2494</f>
        <v>394375</v>
      </c>
      <c r="H24" s="437">
        <f>401460+744+1951</f>
        <v>404155</v>
      </c>
      <c r="I24" s="437">
        <f>153096+207+4914</f>
        <v>158217</v>
      </c>
      <c r="J24" s="474">
        <f t="shared" si="9"/>
        <v>39.147604260741545</v>
      </c>
      <c r="K24" s="389"/>
      <c r="L24" s="440">
        <f>3295-801-2494</f>
        <v>0</v>
      </c>
      <c r="M24" s="437">
        <f>11494-744-1951</f>
        <v>8799</v>
      </c>
      <c r="N24" s="437">
        <f>4242-207-914</f>
        <v>3121</v>
      </c>
      <c r="O24" s="474">
        <f>(N24/M24)*100</f>
        <v>35.469939765882486</v>
      </c>
    </row>
    <row r="25" spans="1:15" ht="14.25" x14ac:dyDescent="0.2">
      <c r="A25" s="367" t="s">
        <v>147</v>
      </c>
      <c r="B25" s="437">
        <f>G25+L25</f>
        <v>574604</v>
      </c>
      <c r="C25" s="437">
        <f>H25+M25</f>
        <v>13490289</v>
      </c>
      <c r="D25" s="437">
        <f>I25+N25</f>
        <v>7467712</v>
      </c>
      <c r="E25" s="465">
        <f t="shared" si="8"/>
        <v>55.356204748467583</v>
      </c>
      <c r="F25" s="376"/>
      <c r="G25" s="437">
        <f>G20-G21-G22-G23-G24</f>
        <v>574604</v>
      </c>
      <c r="H25" s="437">
        <f>H20-H21-H22-H23-H24</f>
        <v>713592</v>
      </c>
      <c r="I25" s="437">
        <f>I20-I21-I22-I23-I24</f>
        <v>182902</v>
      </c>
      <c r="J25" s="474">
        <f t="shared" si="9"/>
        <v>25.631172995212953</v>
      </c>
      <c r="K25" s="389"/>
      <c r="L25" s="440">
        <v>0</v>
      </c>
      <c r="M25" s="437">
        <f>5198+1300+12750337+957+18905</f>
        <v>12776697</v>
      </c>
      <c r="N25" s="437">
        <f>5198+0+7259750+957+18905</f>
        <v>7284810</v>
      </c>
      <c r="O25" s="474">
        <f>(N25/M25)*100</f>
        <v>57.016379115823121</v>
      </c>
    </row>
    <row r="26" spans="1:15" s="365" customFormat="1" ht="21.75" customHeight="1" thickBot="1" x14ac:dyDescent="0.3">
      <c r="A26" s="426" t="s">
        <v>114</v>
      </c>
      <c r="B26" s="453">
        <v>1147935</v>
      </c>
      <c r="C26" s="453">
        <v>2085105</v>
      </c>
      <c r="D26" s="453">
        <v>792523</v>
      </c>
      <c r="E26" s="473">
        <f t="shared" si="8"/>
        <v>38.008781332354964</v>
      </c>
      <c r="F26" s="375"/>
      <c r="G26" s="475">
        <f>B26-L26</f>
        <v>1113635</v>
      </c>
      <c r="H26" s="476">
        <f>C26-M26</f>
        <v>1342072</v>
      </c>
      <c r="I26" s="476">
        <f>D26-N26</f>
        <v>308423</v>
      </c>
      <c r="J26" s="473">
        <f t="shared" si="9"/>
        <v>22.981106825863293</v>
      </c>
      <c r="K26" s="375"/>
      <c r="L26" s="452">
        <f>34300+0</f>
        <v>34300</v>
      </c>
      <c r="M26" s="453">
        <f>34300+605952+1997+3540+48+410+36637+60149</f>
        <v>743033</v>
      </c>
      <c r="N26" s="453">
        <f>0+430691+1997+3540+20817+27055</f>
        <v>484100</v>
      </c>
      <c r="O26" s="473">
        <f>(N26/M26)*100</f>
        <v>65.15188423663551</v>
      </c>
    </row>
    <row r="27" spans="1:15" ht="16.5" thickTop="1" thickBot="1" x14ac:dyDescent="0.25">
      <c r="A27" s="369" t="s">
        <v>135</v>
      </c>
      <c r="B27" s="480">
        <f>B26+B20</f>
        <v>5956051</v>
      </c>
      <c r="C27" s="480">
        <f>C26+C20</f>
        <v>19840824</v>
      </c>
      <c r="D27" s="480">
        <f>D26+D20</f>
        <v>10651655</v>
      </c>
      <c r="E27" s="481">
        <f t="shared" si="8"/>
        <v>53.685547535727352</v>
      </c>
      <c r="F27" s="377"/>
      <c r="G27" s="477">
        <f>G26+G20</f>
        <v>5910689</v>
      </c>
      <c r="H27" s="478">
        <f>H26+H20</f>
        <v>6301013</v>
      </c>
      <c r="I27" s="478">
        <f>I26+I20</f>
        <v>2874501</v>
      </c>
      <c r="J27" s="479">
        <f t="shared" si="9"/>
        <v>45.61966464757333</v>
      </c>
      <c r="K27" s="377"/>
      <c r="L27" s="485">
        <f>L26+L20</f>
        <v>45362</v>
      </c>
      <c r="M27" s="480">
        <f>M26+M20</f>
        <v>13539811</v>
      </c>
      <c r="N27" s="480">
        <f>N26+N20</f>
        <v>7777154</v>
      </c>
      <c r="O27" s="481">
        <f>(N27/M27)*100</f>
        <v>57.439162186237311</v>
      </c>
    </row>
    <row r="28" spans="1:15" ht="13.5" thickBot="1" x14ac:dyDescent="0.25">
      <c r="A28" s="399"/>
      <c r="B28" s="399"/>
      <c r="C28" s="414"/>
      <c r="D28" s="414"/>
      <c r="E28" s="399"/>
      <c r="F28" s="13"/>
      <c r="G28" s="399"/>
      <c r="H28" s="414"/>
      <c r="I28" s="414"/>
      <c r="J28" s="399"/>
      <c r="K28" s="13"/>
      <c r="L28" s="399"/>
      <c r="M28" s="414"/>
      <c r="N28" s="414"/>
      <c r="O28" s="399"/>
    </row>
    <row r="29" spans="1:15" ht="15.75" thickBot="1" x14ac:dyDescent="0.25">
      <c r="A29" s="412" t="s">
        <v>143</v>
      </c>
      <c r="B29" s="482">
        <f>B27-B16</f>
        <v>99659</v>
      </c>
      <c r="C29" s="482">
        <f>C27-C16</f>
        <v>502770</v>
      </c>
      <c r="D29" s="482">
        <f>D27-D16</f>
        <v>-2183536</v>
      </c>
      <c r="E29" s="413"/>
      <c r="F29" s="377"/>
      <c r="G29" s="483">
        <f>G27-G16</f>
        <v>88601</v>
      </c>
      <c r="H29" s="482">
        <f>H27-H16</f>
        <v>146298</v>
      </c>
      <c r="I29" s="482">
        <f>I27-I16</f>
        <v>-470139</v>
      </c>
      <c r="J29" s="413"/>
      <c r="K29" s="377"/>
      <c r="L29" s="486">
        <f>L27-L16</f>
        <v>11058</v>
      </c>
      <c r="M29" s="487">
        <f>M27-M16</f>
        <v>356472</v>
      </c>
      <c r="N29" s="487">
        <f>N27-N16</f>
        <v>-1713397</v>
      </c>
      <c r="O29" s="415"/>
    </row>
    <row r="31" spans="1:15" ht="20.25" x14ac:dyDescent="0.3">
      <c r="A31" s="366" t="s">
        <v>157</v>
      </c>
      <c r="B31" s="366"/>
      <c r="C31" s="366"/>
      <c r="D31" s="366"/>
      <c r="E31" s="366"/>
      <c r="F31" s="366"/>
    </row>
    <row r="32" spans="1:15" ht="15" thickBot="1" x14ac:dyDescent="0.25">
      <c r="A32" s="507"/>
      <c r="B32" s="507"/>
      <c r="C32" s="507"/>
      <c r="D32" s="507"/>
      <c r="E32" s="507"/>
      <c r="F32" s="362"/>
      <c r="N32" s="2" t="s">
        <v>0</v>
      </c>
    </row>
    <row r="33" spans="1:14" ht="17.100000000000001" customHeight="1" thickBot="1" x14ac:dyDescent="0.25">
      <c r="B33" s="501" t="s">
        <v>131</v>
      </c>
      <c r="C33" s="502"/>
      <c r="D33" s="503"/>
      <c r="G33" s="501" t="s">
        <v>132</v>
      </c>
      <c r="H33" s="502"/>
      <c r="I33" s="503"/>
      <c r="L33" s="501" t="s">
        <v>133</v>
      </c>
      <c r="M33" s="502"/>
      <c r="N33" s="503"/>
    </row>
    <row r="34" spans="1:14" ht="20.100000000000001" customHeight="1" thickBot="1" x14ac:dyDescent="0.25">
      <c r="A34" s="396" t="s">
        <v>1</v>
      </c>
      <c r="B34" s="418" t="s">
        <v>158</v>
      </c>
      <c r="C34" s="418" t="s">
        <v>156</v>
      </c>
      <c r="D34" s="419" t="s">
        <v>134</v>
      </c>
      <c r="G34" s="417" t="s">
        <v>158</v>
      </c>
      <c r="H34" s="418" t="s">
        <v>156</v>
      </c>
      <c r="I34" s="419" t="s">
        <v>134</v>
      </c>
      <c r="L34" s="417" t="s">
        <v>158</v>
      </c>
      <c r="M34" s="418" t="s">
        <v>156</v>
      </c>
      <c r="N34" s="419" t="s">
        <v>134</v>
      </c>
    </row>
    <row r="35" spans="1:14" ht="15" thickTop="1" x14ac:dyDescent="0.2">
      <c r="A35" s="416" t="s">
        <v>102</v>
      </c>
      <c r="B35" s="470">
        <f>G35+L35</f>
        <v>2155375</v>
      </c>
      <c r="C35" s="470">
        <f>D6</f>
        <v>2462212</v>
      </c>
      <c r="D35" s="488">
        <f t="shared" ref="D35:D41" si="11">(C35/B35)*100</f>
        <v>114.2358986255292</v>
      </c>
      <c r="G35" s="484">
        <f>2155375-L35</f>
        <v>2122104</v>
      </c>
      <c r="H35" s="462">
        <f>I6</f>
        <v>2428081</v>
      </c>
      <c r="I35" s="494">
        <f t="shared" ref="I35:I41" si="12">(H35/G35)*100</f>
        <v>114.41856761025851</v>
      </c>
      <c r="L35" s="403">
        <v>33271</v>
      </c>
      <c r="M35" s="455">
        <f>N6</f>
        <v>34131</v>
      </c>
      <c r="N35" s="385">
        <f>(M35/L35)*100</f>
        <v>102.58483363890475</v>
      </c>
    </row>
    <row r="36" spans="1:14" ht="14.25" x14ac:dyDescent="0.2">
      <c r="A36" s="386" t="s">
        <v>103</v>
      </c>
      <c r="B36" s="466">
        <f>G36+L36</f>
        <v>355398</v>
      </c>
      <c r="C36" s="466">
        <f>D11</f>
        <v>409337</v>
      </c>
      <c r="D36" s="489">
        <f t="shared" si="11"/>
        <v>115.17706908873994</v>
      </c>
      <c r="G36" s="472">
        <v>335588</v>
      </c>
      <c r="H36" s="466">
        <f>I11</f>
        <v>390425</v>
      </c>
      <c r="I36" s="489">
        <f t="shared" si="12"/>
        <v>116.34057236849947</v>
      </c>
      <c r="L36" s="459">
        <f>402+19408</f>
        <v>19810</v>
      </c>
      <c r="M36" s="457">
        <f>N11</f>
        <v>18912</v>
      </c>
      <c r="N36" s="387">
        <f t="shared" ref="N36" si="13">(M36/L36)*100</f>
        <v>95.466935890964152</v>
      </c>
    </row>
    <row r="37" spans="1:14" ht="14.25" x14ac:dyDescent="0.2">
      <c r="A37" s="388" t="s">
        <v>104</v>
      </c>
      <c r="B37" s="466">
        <f t="shared" ref="B37" si="14">G37+L37</f>
        <v>17701</v>
      </c>
      <c r="C37" s="466">
        <f>D12</f>
        <v>116</v>
      </c>
      <c r="D37" s="489">
        <f t="shared" si="11"/>
        <v>0.65533020733291902</v>
      </c>
      <c r="G37" s="472">
        <v>17701</v>
      </c>
      <c r="H37" s="466">
        <f>I12</f>
        <v>116</v>
      </c>
      <c r="I37" s="489">
        <f t="shared" si="12"/>
        <v>0.65533020733291902</v>
      </c>
      <c r="L37" s="459">
        <v>0</v>
      </c>
      <c r="M37" s="457">
        <f>N12</f>
        <v>0</v>
      </c>
      <c r="N37" s="387">
        <v>0</v>
      </c>
    </row>
    <row r="38" spans="1:14" ht="14.25" x14ac:dyDescent="0.2">
      <c r="A38" s="386" t="s">
        <v>105</v>
      </c>
      <c r="B38" s="466">
        <f>G38+L38</f>
        <v>8475367</v>
      </c>
      <c r="C38" s="466">
        <f>D13</f>
        <v>9963526</v>
      </c>
      <c r="D38" s="489">
        <f t="shared" si="11"/>
        <v>117.55863787373455</v>
      </c>
      <c r="G38" s="472">
        <f>G39+G40</f>
        <v>405283</v>
      </c>
      <c r="H38" s="466">
        <f>I13</f>
        <v>526018</v>
      </c>
      <c r="I38" s="489">
        <f t="shared" si="12"/>
        <v>129.7902946829746</v>
      </c>
      <c r="L38" s="459">
        <f>L39+L40</f>
        <v>8070084</v>
      </c>
      <c r="M38" s="457">
        <f>N13</f>
        <v>9437508</v>
      </c>
      <c r="N38" s="387">
        <f t="shared" ref="N38:N40" si="15">(M38/L38)*100</f>
        <v>116.94435894347568</v>
      </c>
    </row>
    <row r="39" spans="1:14" ht="14.25" x14ac:dyDescent="0.2">
      <c r="A39" s="367" t="s">
        <v>141</v>
      </c>
      <c r="B39" s="437">
        <f>G39+L39</f>
        <v>8114283</v>
      </c>
      <c r="C39" s="437">
        <f>D14</f>
        <v>9280634</v>
      </c>
      <c r="D39" s="490">
        <f t="shared" si="11"/>
        <v>114.37404882230507</v>
      </c>
      <c r="G39" s="440">
        <f>10000+54816+16797-816</f>
        <v>80797</v>
      </c>
      <c r="H39" s="437">
        <f>I14</f>
        <v>86561</v>
      </c>
      <c r="I39" s="490">
        <f t="shared" si="12"/>
        <v>107.13392823990991</v>
      </c>
      <c r="L39" s="440">
        <f>4817+8026340+1424+89+816</f>
        <v>8033486</v>
      </c>
      <c r="M39" s="437">
        <f>N14</f>
        <v>9194073</v>
      </c>
      <c r="N39" s="406">
        <f t="shared" si="15"/>
        <v>114.44686652842864</v>
      </c>
    </row>
    <row r="40" spans="1:14" ht="15" thickBot="1" x14ac:dyDescent="0.25">
      <c r="A40" s="391" t="s">
        <v>142</v>
      </c>
      <c r="B40" s="458">
        <f>G40+L40</f>
        <v>361084</v>
      </c>
      <c r="C40" s="458">
        <f>D15</f>
        <v>682892</v>
      </c>
      <c r="D40" s="491">
        <f t="shared" si="11"/>
        <v>189.12275260050293</v>
      </c>
      <c r="G40" s="460">
        <f>40000+48+410+21042+14610+248376</f>
        <v>324486</v>
      </c>
      <c r="H40" s="458">
        <f>I15</f>
        <v>439457</v>
      </c>
      <c r="I40" s="491">
        <f t="shared" si="12"/>
        <v>135.4317289497852</v>
      </c>
      <c r="L40" s="460">
        <f>34025+1206+76+1291</f>
        <v>36598</v>
      </c>
      <c r="M40" s="458">
        <f>N15</f>
        <v>243435</v>
      </c>
      <c r="N40" s="441">
        <f t="shared" si="15"/>
        <v>665.15929832231268</v>
      </c>
    </row>
    <row r="41" spans="1:14" ht="17.25" thickTop="1" thickBot="1" x14ac:dyDescent="0.3">
      <c r="A41" s="427" t="s">
        <v>8</v>
      </c>
      <c r="B41" s="492">
        <f>SUM(B35:B38)</f>
        <v>11003841</v>
      </c>
      <c r="C41" s="492">
        <f>SUM(C35:C38)</f>
        <v>12835191</v>
      </c>
      <c r="D41" s="493">
        <f t="shared" si="11"/>
        <v>116.64282499174607</v>
      </c>
      <c r="G41" s="495">
        <f>SUM(G35:G38)</f>
        <v>2880676</v>
      </c>
      <c r="H41" s="434">
        <f>SUM(H35:H38)</f>
        <v>3344640</v>
      </c>
      <c r="I41" s="435">
        <f t="shared" si="12"/>
        <v>116.10608065606823</v>
      </c>
      <c r="L41" s="461">
        <f>SUM(L35:L38)</f>
        <v>8123165</v>
      </c>
      <c r="M41" s="371">
        <f>SUM(M35:M38)</f>
        <v>9490551</v>
      </c>
      <c r="N41" s="372">
        <f t="shared" ref="N41" si="16">(M41/L41)*100</f>
        <v>116.83316786006439</v>
      </c>
    </row>
    <row r="42" spans="1:14" ht="13.5" thickBot="1" x14ac:dyDescent="0.25">
      <c r="A42" s="225"/>
      <c r="B42" s="226"/>
      <c r="C42" s="226"/>
      <c r="D42" s="225"/>
      <c r="G42" s="13"/>
    </row>
    <row r="43" spans="1:14" ht="20.100000000000001" customHeight="1" thickBot="1" x14ac:dyDescent="0.25">
      <c r="A43" s="396" t="s">
        <v>92</v>
      </c>
      <c r="B43" s="420" t="s">
        <v>158</v>
      </c>
      <c r="C43" s="420" t="s">
        <v>156</v>
      </c>
      <c r="D43" s="421" t="s">
        <v>134</v>
      </c>
      <c r="G43" s="422" t="s">
        <v>158</v>
      </c>
      <c r="H43" s="420" t="s">
        <v>156</v>
      </c>
      <c r="I43" s="421" t="s">
        <v>134</v>
      </c>
      <c r="L43" s="422" t="s">
        <v>158</v>
      </c>
      <c r="M43" s="420" t="s">
        <v>156</v>
      </c>
      <c r="N43" s="421" t="s">
        <v>134</v>
      </c>
    </row>
    <row r="44" spans="1:14" s="365" customFormat="1" ht="15" thickTop="1" x14ac:dyDescent="0.2">
      <c r="A44" s="425" t="s">
        <v>113</v>
      </c>
      <c r="B44" s="450">
        <f>G44+L44</f>
        <v>8916372</v>
      </c>
      <c r="C44" s="450">
        <f>D20</f>
        <v>9859132</v>
      </c>
      <c r="D44" s="423">
        <f>C44/B44*100</f>
        <v>110.57335876071568</v>
      </c>
      <c r="G44" s="469">
        <f>SUM(G45:G49)</f>
        <v>2487269</v>
      </c>
      <c r="H44" s="470">
        <f>I20</f>
        <v>2566078</v>
      </c>
      <c r="I44" s="423">
        <f>H44/G44*100</f>
        <v>103.16849524518659</v>
      </c>
      <c r="L44" s="416">
        <f>SUM(L45:L49)</f>
        <v>6429103</v>
      </c>
      <c r="M44" s="450">
        <f>N20</f>
        <v>7293054</v>
      </c>
      <c r="N44" s="451">
        <f>M44/L44*100</f>
        <v>113.43812659402097</v>
      </c>
    </row>
    <row r="45" spans="1:14" ht="14.25" x14ac:dyDescent="0.2">
      <c r="A45" s="367" t="s">
        <v>138</v>
      </c>
      <c r="B45" s="437">
        <f>G45+L45</f>
        <v>187487</v>
      </c>
      <c r="C45" s="437">
        <f>H45+M45</f>
        <v>183917</v>
      </c>
      <c r="D45" s="406">
        <f>(C45/B45)*100</f>
        <v>98.09586798017996</v>
      </c>
      <c r="G45" s="440">
        <v>182643</v>
      </c>
      <c r="H45" s="437">
        <f>I21</f>
        <v>178794</v>
      </c>
      <c r="I45" s="490">
        <f>(H45/G45)*100</f>
        <v>97.892610173945897</v>
      </c>
      <c r="L45" s="440">
        <v>4844</v>
      </c>
      <c r="M45" s="437">
        <f t="shared" ref="M45:M50" si="17">N21</f>
        <v>5123</v>
      </c>
      <c r="N45" s="474">
        <f>(M45/L45)*100</f>
        <v>105.75970272502065</v>
      </c>
    </row>
    <row r="46" spans="1:14" ht="14.25" x14ac:dyDescent="0.2">
      <c r="A46" s="367" t="s">
        <v>129</v>
      </c>
      <c r="B46" s="437">
        <f t="shared" ref="B46:B47" si="18">G46+L46</f>
        <v>1010211</v>
      </c>
      <c r="C46" s="437">
        <f>H46+M46</f>
        <v>1046554</v>
      </c>
      <c r="D46" s="406">
        <f>(C46/B46)*100</f>
        <v>103.59756526111872</v>
      </c>
      <c r="G46" s="440">
        <v>1010211</v>
      </c>
      <c r="H46" s="437">
        <f t="shared" ref="H46:H49" si="19">I22</f>
        <v>1046554</v>
      </c>
      <c r="I46" s="490">
        <f>(H46/G46)*100</f>
        <v>103.59756526111872</v>
      </c>
      <c r="L46" s="440">
        <v>0</v>
      </c>
      <c r="M46" s="437">
        <f t="shared" si="17"/>
        <v>0</v>
      </c>
      <c r="N46" s="474">
        <v>0</v>
      </c>
    </row>
    <row r="47" spans="1:14" ht="14.25" x14ac:dyDescent="0.2">
      <c r="A47" s="368" t="s">
        <v>139</v>
      </c>
      <c r="B47" s="437">
        <f t="shared" si="18"/>
        <v>894023</v>
      </c>
      <c r="C47" s="437">
        <f>H47+M47</f>
        <v>999611</v>
      </c>
      <c r="D47" s="406">
        <f>(C47/B47)*100</f>
        <v>111.81043440716849</v>
      </c>
      <c r="G47" s="440">
        <v>894023</v>
      </c>
      <c r="H47" s="437">
        <f t="shared" si="19"/>
        <v>999611</v>
      </c>
      <c r="I47" s="490">
        <f>(H47/G47)*100</f>
        <v>111.81043440716849</v>
      </c>
      <c r="L47" s="440">
        <v>0</v>
      </c>
      <c r="M47" s="437">
        <f t="shared" si="17"/>
        <v>0</v>
      </c>
      <c r="N47" s="474">
        <v>0</v>
      </c>
    </row>
    <row r="48" spans="1:14" ht="14.25" x14ac:dyDescent="0.2">
      <c r="A48" s="367" t="s">
        <v>146</v>
      </c>
      <c r="B48" s="437">
        <f>G48+L48</f>
        <v>157283</v>
      </c>
      <c r="C48" s="437">
        <f>H48+M48</f>
        <v>161338</v>
      </c>
      <c r="D48" s="406">
        <f>(C48/B48)*100</f>
        <v>102.57815529968272</v>
      </c>
      <c r="G48" s="440">
        <f>151286+2124</f>
        <v>153410</v>
      </c>
      <c r="H48" s="437">
        <f>I24</f>
        <v>158217</v>
      </c>
      <c r="I48" s="490">
        <f>(H48/G48)*100</f>
        <v>103.13343328335831</v>
      </c>
      <c r="L48" s="440">
        <f>5997-2124</f>
        <v>3873</v>
      </c>
      <c r="M48" s="437">
        <f t="shared" si="17"/>
        <v>3121</v>
      </c>
      <c r="N48" s="474">
        <f>(M48/L48)*100</f>
        <v>80.583526981667958</v>
      </c>
    </row>
    <row r="49" spans="1:14" ht="14.25" x14ac:dyDescent="0.2">
      <c r="A49" s="367" t="s">
        <v>147</v>
      </c>
      <c r="B49" s="437">
        <f>G49+L49</f>
        <v>6667368</v>
      </c>
      <c r="C49" s="437">
        <f>H49+M49</f>
        <v>7467712</v>
      </c>
      <c r="D49" s="406">
        <f>(C49/B49)*100</f>
        <v>112.00389719001561</v>
      </c>
      <c r="G49" s="440">
        <f>247023-41</f>
        <v>246982</v>
      </c>
      <c r="H49" s="437">
        <f t="shared" si="19"/>
        <v>182902</v>
      </c>
      <c r="I49" s="490">
        <f>(H49/G49)*100</f>
        <v>74.054789417852319</v>
      </c>
      <c r="L49" s="440">
        <f>6400937+41+19408</f>
        <v>6420386</v>
      </c>
      <c r="M49" s="437">
        <f>N25</f>
        <v>7284810</v>
      </c>
      <c r="N49" s="474">
        <f>(M49/L49)*100</f>
        <v>113.46373878455283</v>
      </c>
    </row>
    <row r="50" spans="1:14" s="365" customFormat="1" ht="15" thickBot="1" x14ac:dyDescent="0.25">
      <c r="A50" s="426" t="s">
        <v>114</v>
      </c>
      <c r="B50" s="453">
        <f>G50+L50</f>
        <v>750462</v>
      </c>
      <c r="C50" s="453">
        <f>D26</f>
        <v>792523</v>
      </c>
      <c r="D50" s="424">
        <f>C50/B50*100</f>
        <v>105.60468084992978</v>
      </c>
      <c r="G50" s="475">
        <v>497578</v>
      </c>
      <c r="H50" s="476">
        <f t="shared" ref="H50" si="20">I26</f>
        <v>308423</v>
      </c>
      <c r="I50" s="424">
        <f>H50/G50*100</f>
        <v>61.984854635856088</v>
      </c>
      <c r="L50" s="452">
        <f>188036+1206+1486+1514+103+60539</f>
        <v>252884</v>
      </c>
      <c r="M50" s="453">
        <f t="shared" si="17"/>
        <v>484100</v>
      </c>
      <c r="N50" s="454">
        <f>M50/L50*100</f>
        <v>191.43164454848863</v>
      </c>
    </row>
    <row r="51" spans="1:14" ht="16.5" thickTop="1" thickBot="1" x14ac:dyDescent="0.25">
      <c r="A51" s="412" t="s">
        <v>136</v>
      </c>
      <c r="B51" s="456">
        <f t="shared" ref="B51" si="21">B50+B44</f>
        <v>9666834</v>
      </c>
      <c r="C51" s="456">
        <f t="shared" ref="C51" si="22">C50+C44</f>
        <v>10651655</v>
      </c>
      <c r="D51" s="413">
        <f>C51/B51*100</f>
        <v>110.18762709693783</v>
      </c>
      <c r="G51" s="496">
        <f t="shared" ref="G51" si="23">G50+G44</f>
        <v>2984847</v>
      </c>
      <c r="H51" s="497">
        <f t="shared" ref="H51" si="24">H50+H44</f>
        <v>2874501</v>
      </c>
      <c r="I51" s="498">
        <f>H51/G51*100</f>
        <v>96.303127094956636</v>
      </c>
      <c r="L51" s="499">
        <f t="shared" ref="L51" si="25">L50+L44</f>
        <v>6681987</v>
      </c>
      <c r="M51" s="500">
        <f t="shared" ref="M51" si="26">M50+M44</f>
        <v>7777154</v>
      </c>
      <c r="N51" s="498">
        <f>M51/L51*100</f>
        <v>116.38984032743554</v>
      </c>
    </row>
    <row r="52" spans="1:14" ht="13.5" thickBot="1" x14ac:dyDescent="0.25">
      <c r="B52" s="169"/>
      <c r="D52" s="1"/>
      <c r="G52" s="169"/>
      <c r="H52" s="169"/>
      <c r="L52" s="169"/>
      <c r="M52" s="169"/>
    </row>
    <row r="53" spans="1:14" ht="15.75" thickBot="1" x14ac:dyDescent="0.25">
      <c r="A53" s="428" t="s">
        <v>143</v>
      </c>
      <c r="B53" s="487">
        <f>B51-B41</f>
        <v>-1337007</v>
      </c>
      <c r="C53" s="487">
        <f>C51-C41</f>
        <v>-2183536</v>
      </c>
      <c r="D53" s="429"/>
      <c r="E53" s="370"/>
      <c r="F53" s="370"/>
      <c r="G53" s="486">
        <f>G51-G41</f>
        <v>104171</v>
      </c>
      <c r="H53" s="487">
        <f>H51-H41</f>
        <v>-470139</v>
      </c>
      <c r="I53" s="429"/>
      <c r="J53" s="370"/>
      <c r="K53" s="370"/>
      <c r="L53" s="486">
        <f>L51-L41</f>
        <v>-1441178</v>
      </c>
      <c r="M53" s="487">
        <f>M51-M41</f>
        <v>-1713397</v>
      </c>
      <c r="N53" s="429"/>
    </row>
    <row r="54" spans="1:14" x14ac:dyDescent="0.2">
      <c r="B54" s="169"/>
      <c r="D54" s="1"/>
    </row>
    <row r="55" spans="1:14" x14ac:dyDescent="0.2">
      <c r="B55" s="169"/>
      <c r="D55" s="1"/>
    </row>
    <row r="56" spans="1:14" x14ac:dyDescent="0.2">
      <c r="B56" s="169"/>
      <c r="D56" s="1"/>
    </row>
    <row r="57" spans="1:14" x14ac:dyDescent="0.2">
      <c r="B57" s="169"/>
      <c r="D57" s="1"/>
    </row>
    <row r="58" spans="1:14" x14ac:dyDescent="0.2">
      <c r="B58" s="169"/>
      <c r="D58" s="1"/>
    </row>
  </sheetData>
  <mergeCells count="7">
    <mergeCell ref="B33:D33"/>
    <mergeCell ref="G33:I33"/>
    <mergeCell ref="L33:N33"/>
    <mergeCell ref="G3:J3"/>
    <mergeCell ref="L3:O3"/>
    <mergeCell ref="A32:E32"/>
    <mergeCell ref="B3:E3"/>
  </mergeCells>
  <phoneticPr fontId="5" type="noConversion"/>
  <pageMargins left="0.59055118110236227" right="0.19685039370078741" top="0.39370078740157483" bottom="0.98425196850393704" header="0" footer="0.51181102362204722"/>
  <pageSetup paperSize="9" scale="62" firstPageNumber="3" orientation="landscape" cellComments="asDisplayed" useFirstPageNumber="1" r:id="rId1"/>
  <headerFooter alignWithMargins="0">
    <oddFooter xml:space="preserve">&amp;L&amp;"Arial CE,Kurzíva"Zastupitelstvo Olomouckého kraje 20. 9. 2021
7.3. - Rozpočet Olomouckého kraje 2021 - plnění rozpočtu k 30. 6. 2021
Příloha č. 1 DZ - Bilance Olomouckého kraje k 30. 6. 2021&amp;R&amp;"Arial CE,Kurzíva"Strana &amp;P (Celkem 8)
</oddFooter>
  </headerFooter>
  <rowBreaks count="1" manualBreakCount="1">
    <brk id="53" max="14" man="1"/>
  </rowBreaks>
  <colBreaks count="1" manualBreakCount="1">
    <brk id="19" max="29" man="1"/>
  </colBreak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G27"/>
  <sheetViews>
    <sheetView showGridLines="0" view="pageBreakPreview" zoomScale="110" zoomScaleNormal="100" zoomScaleSheetLayoutView="110" workbookViewId="0">
      <selection activeCell="B9" sqref="B9"/>
    </sheetView>
  </sheetViews>
  <sheetFormatPr defaultColWidth="9.140625" defaultRowHeight="12.75" x14ac:dyDescent="0.2"/>
  <cols>
    <col min="1" max="1" width="40.5703125" style="1" customWidth="1"/>
    <col min="2" max="2" width="15.85546875" style="1" customWidth="1"/>
    <col min="3" max="3" width="15.5703125" style="169" customWidth="1"/>
    <col min="4" max="4" width="15.7109375" style="169" customWidth="1"/>
    <col min="5" max="5" width="11.28515625" style="1" customWidth="1"/>
    <col min="6" max="6" width="10.85546875" style="1" customWidth="1"/>
    <col min="7" max="7" width="10.140625" style="1" bestFit="1" customWidth="1"/>
    <col min="8" max="16384" width="9.140625" style="1"/>
  </cols>
  <sheetData>
    <row r="1" spans="1:7" ht="20.25" x14ac:dyDescent="0.3">
      <c r="A1" s="512" t="s">
        <v>151</v>
      </c>
      <c r="B1" s="512"/>
      <c r="C1" s="512"/>
      <c r="D1" s="512"/>
      <c r="E1" s="512"/>
    </row>
    <row r="3" spans="1:7" x14ac:dyDescent="0.2">
      <c r="A3" s="507" t="s">
        <v>95</v>
      </c>
      <c r="B3" s="507"/>
      <c r="C3" s="507"/>
      <c r="D3" s="507"/>
      <c r="E3" s="507"/>
    </row>
    <row r="4" spans="1:7" ht="30.75" customHeight="1" x14ac:dyDescent="0.2">
      <c r="A4" s="507"/>
      <c r="B4" s="507"/>
      <c r="C4" s="507"/>
      <c r="D4" s="507"/>
      <c r="E4" s="507"/>
    </row>
    <row r="6" spans="1:7" ht="13.5" thickBot="1" x14ac:dyDescent="0.25">
      <c r="B6" s="9"/>
      <c r="C6" s="174"/>
      <c r="D6" s="170"/>
      <c r="E6" s="2" t="s">
        <v>0</v>
      </c>
    </row>
    <row r="7" spans="1:7" s="10" customFormat="1" ht="18.75" customHeight="1" thickTop="1" thickBot="1" x14ac:dyDescent="0.25">
      <c r="A7" s="263" t="s">
        <v>1</v>
      </c>
      <c r="B7" s="264" t="s">
        <v>11</v>
      </c>
      <c r="C7" s="264" t="s">
        <v>12</v>
      </c>
      <c r="D7" s="264" t="s">
        <v>4</v>
      </c>
      <c r="E7" s="265" t="s">
        <v>5</v>
      </c>
    </row>
    <row r="8" spans="1:7" s="4" customFormat="1" thickTop="1" thickBot="1" x14ac:dyDescent="0.25">
      <c r="A8" s="266">
        <v>1</v>
      </c>
      <c r="B8" s="264">
        <v>2</v>
      </c>
      <c r="C8" s="264">
        <v>3</v>
      </c>
      <c r="D8" s="264">
        <v>4</v>
      </c>
      <c r="E8" s="267" t="s">
        <v>96</v>
      </c>
    </row>
    <row r="9" spans="1:7" ht="18.95" customHeight="1" thickTop="1" x14ac:dyDescent="0.2">
      <c r="A9" s="223" t="s">
        <v>102</v>
      </c>
      <c r="B9" s="227">
        <v>4997689</v>
      </c>
      <c r="C9" s="232">
        <v>4879493</v>
      </c>
      <c r="D9" s="232">
        <v>2462212</v>
      </c>
      <c r="E9" s="80">
        <f>(D9/C9)*100</f>
        <v>50.460406439767411</v>
      </c>
    </row>
    <row r="10" spans="1:7" ht="18.95" customHeight="1" x14ac:dyDescent="0.2">
      <c r="A10" s="223" t="s">
        <v>103</v>
      </c>
      <c r="B10" s="228">
        <v>489242</v>
      </c>
      <c r="C10" s="232">
        <v>595561</v>
      </c>
      <c r="D10" s="232">
        <v>409337</v>
      </c>
      <c r="E10" s="81">
        <f t="shared" ref="E10:E15" si="0">(D10/C10)*100</f>
        <v>68.731330627761054</v>
      </c>
    </row>
    <row r="11" spans="1:7" ht="18.95" customHeight="1" x14ac:dyDescent="0.2">
      <c r="A11" s="297" t="s">
        <v>104</v>
      </c>
      <c r="B11" s="228">
        <v>8355</v>
      </c>
      <c r="C11" s="232">
        <v>8399</v>
      </c>
      <c r="D11" s="232">
        <v>116</v>
      </c>
      <c r="E11" s="81">
        <f t="shared" si="0"/>
        <v>1.3811167996190021</v>
      </c>
    </row>
    <row r="12" spans="1:7" ht="18.95" customHeight="1" x14ac:dyDescent="0.2">
      <c r="A12" s="224" t="s">
        <v>105</v>
      </c>
      <c r="B12" s="229">
        <v>372164</v>
      </c>
      <c r="C12" s="233">
        <v>13865879</v>
      </c>
      <c r="D12" s="233">
        <v>20585941</v>
      </c>
      <c r="E12" s="81">
        <f t="shared" si="0"/>
        <v>148.46473851387279</v>
      </c>
      <c r="G12" s="11"/>
    </row>
    <row r="13" spans="1:7" ht="18.95" customHeight="1" x14ac:dyDescent="0.25">
      <c r="A13" s="12" t="s">
        <v>8</v>
      </c>
      <c r="B13" s="230">
        <f>SUM(B9:B12)</f>
        <v>5867450</v>
      </c>
      <c r="C13" s="234">
        <f>SUM(C9:C12)</f>
        <v>19349332</v>
      </c>
      <c r="D13" s="234">
        <f>SUM(D9:D12)</f>
        <v>23457606</v>
      </c>
      <c r="E13" s="83">
        <f t="shared" si="0"/>
        <v>121.23212315546603</v>
      </c>
    </row>
    <row r="14" spans="1:7" s="6" customFormat="1" ht="21.75" customHeight="1" x14ac:dyDescent="0.2">
      <c r="A14" s="7" t="s">
        <v>106</v>
      </c>
      <c r="B14" s="227">
        <v>11058</v>
      </c>
      <c r="C14" s="235">
        <v>11278</v>
      </c>
      <c r="D14" s="232">
        <v>10622415</v>
      </c>
      <c r="E14" s="81">
        <f t="shared" si="0"/>
        <v>94187.045575456636</v>
      </c>
    </row>
    <row r="15" spans="1:7" s="6" customFormat="1" ht="45.75" customHeight="1" thickBot="1" x14ac:dyDescent="0.3">
      <c r="A15" s="8" t="s">
        <v>7</v>
      </c>
      <c r="B15" s="231">
        <f>B13-B14</f>
        <v>5856392</v>
      </c>
      <c r="C15" s="236">
        <f>C13-C14</f>
        <v>19338054</v>
      </c>
      <c r="D15" s="236">
        <f>D13-D14</f>
        <v>12835191</v>
      </c>
      <c r="E15" s="82">
        <f t="shared" si="0"/>
        <v>66.372712580076566</v>
      </c>
    </row>
    <row r="16" spans="1:7" ht="13.5" thickTop="1" x14ac:dyDescent="0.2">
      <c r="A16" s="225"/>
      <c r="B16" s="225"/>
      <c r="C16" s="226"/>
      <c r="D16" s="226"/>
      <c r="E16" s="225"/>
    </row>
    <row r="17" spans="1:7" x14ac:dyDescent="0.2">
      <c r="A17" s="511" t="s">
        <v>125</v>
      </c>
      <c r="B17" s="511"/>
      <c r="C17" s="511"/>
      <c r="D17" s="511"/>
      <c r="E17" s="511"/>
    </row>
    <row r="18" spans="1:7" x14ac:dyDescent="0.2">
      <c r="A18" s="511"/>
      <c r="B18" s="511"/>
      <c r="C18" s="511"/>
      <c r="D18" s="511"/>
      <c r="E18" s="511"/>
      <c r="F18" s="13"/>
      <c r="G18" s="13"/>
    </row>
    <row r="19" spans="1:7" x14ac:dyDescent="0.2">
      <c r="A19" s="225"/>
      <c r="B19" s="225"/>
      <c r="C19" s="226"/>
      <c r="D19" s="226"/>
      <c r="E19" s="225"/>
      <c r="F19" s="13"/>
      <c r="G19" s="13"/>
    </row>
    <row r="20" spans="1:7" x14ac:dyDescent="0.2">
      <c r="A20" s="225"/>
      <c r="B20" s="225"/>
      <c r="C20" s="226"/>
      <c r="D20" s="226"/>
      <c r="E20" s="225"/>
      <c r="F20" s="13"/>
      <c r="G20" s="13"/>
    </row>
    <row r="21" spans="1:7" x14ac:dyDescent="0.2">
      <c r="A21" s="225"/>
      <c r="B21" s="363"/>
      <c r="C21" s="226"/>
      <c r="D21" s="226"/>
      <c r="E21" s="225"/>
    </row>
    <row r="22" spans="1:7" x14ac:dyDescent="0.2">
      <c r="B22" s="1">
        <f>B12-B14</f>
        <v>361106</v>
      </c>
      <c r="C22" s="169">
        <f>C12-C14</f>
        <v>13854601</v>
      </c>
      <c r="D22" s="169">
        <f>D12-D14</f>
        <v>9963526</v>
      </c>
    </row>
    <row r="24" spans="1:7" ht="21.75" customHeight="1" x14ac:dyDescent="0.2">
      <c r="B24" s="262"/>
      <c r="C24" s="262"/>
      <c r="D24" s="262"/>
    </row>
    <row r="25" spans="1:7" ht="28.5" customHeight="1" x14ac:dyDescent="0.2">
      <c r="B25" s="262"/>
      <c r="C25" s="262"/>
      <c r="D25" s="262"/>
    </row>
    <row r="27" spans="1:7" x14ac:dyDescent="0.2">
      <c r="C27" s="1"/>
      <c r="D27" s="1"/>
    </row>
  </sheetData>
  <mergeCells count="3">
    <mergeCell ref="A3:E4"/>
    <mergeCell ref="A17:E18"/>
    <mergeCell ref="A1:E1"/>
  </mergeCells>
  <phoneticPr fontId="5" type="noConversion"/>
  <pageMargins left="0.98425196850393704" right="0" top="0.98425196850393704" bottom="0.98425196850393704" header="0.51181102362204722" footer="0.51181102362204722"/>
  <pageSetup paperSize="9" scale="85" firstPageNumber="4" orientation="portrait" cellComments="asDisplayed" useFirstPageNumber="1" r:id="rId1"/>
  <headerFooter alignWithMargins="0">
    <oddFooter xml:space="preserve">&amp;L&amp;"Arial CE,Kurzíva"Zastupitelstvo Olomouckého kraje 20. 9. 2021
7.3. - Rozpočet Olomouckého kraje 2021 - plnění rozpočtu k 30. 6. 2021
Příloha č. 2 DZ - Plnění rozpočtu Olomouckého kraje k 30. 6. 2021&amp;R&amp;"Arial CE,Kurzíva"Strana &amp;P (Celkem 8)
</oddFooter>
  </headerFooter>
  <ignoredErrors>
    <ignoredError sqref="B13:D13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24"/>
  </sheetPr>
  <dimension ref="A1:O125"/>
  <sheetViews>
    <sheetView showGridLines="0" view="pageBreakPreview" zoomScaleNormal="100" zoomScaleSheetLayoutView="100" workbookViewId="0">
      <selection activeCell="D52" sqref="D52"/>
    </sheetView>
  </sheetViews>
  <sheetFormatPr defaultColWidth="9.140625" defaultRowHeight="14.25" x14ac:dyDescent="0.2"/>
  <cols>
    <col min="1" max="1" width="53.42578125" style="222" customWidth="1"/>
    <col min="2" max="2" width="5.140625" style="112" customWidth="1"/>
    <col min="3" max="3" width="14.42578125" style="124" customWidth="1"/>
    <col min="4" max="4" width="15" style="124" customWidth="1"/>
    <col min="5" max="5" width="15.5703125" style="124" customWidth="1"/>
    <col min="6" max="6" width="10.5703125" style="124" customWidth="1"/>
    <col min="7" max="8" width="16.28515625" style="20" customWidth="1"/>
    <col min="9" max="9" width="16.7109375" style="20" customWidth="1"/>
    <col min="10" max="10" width="18.140625" style="15" customWidth="1"/>
    <col min="11" max="11" width="21" style="21" customWidth="1"/>
    <col min="12" max="12" width="2.7109375" style="17" customWidth="1"/>
    <col min="13" max="13" width="16.5703125" style="17" customWidth="1"/>
    <col min="14" max="14" width="17.5703125" style="16" customWidth="1"/>
    <col min="15" max="16" width="9.140625" style="17"/>
    <col min="17" max="17" width="11.140625" style="17" bestFit="1" customWidth="1"/>
    <col min="18" max="16384" width="9.140625" style="17"/>
  </cols>
  <sheetData>
    <row r="1" spans="1:14" ht="23.25" x14ac:dyDescent="0.35">
      <c r="A1" s="517" t="s">
        <v>152</v>
      </c>
      <c r="B1" s="518"/>
      <c r="C1" s="518"/>
      <c r="D1" s="518"/>
      <c r="E1" s="518"/>
      <c r="F1" s="518"/>
      <c r="G1" s="14"/>
      <c r="H1" s="14"/>
      <c r="I1" s="14"/>
      <c r="K1" s="16"/>
    </row>
    <row r="2" spans="1:14" ht="23.25" x14ac:dyDescent="0.35">
      <c r="A2" s="519"/>
      <c r="B2" s="519"/>
      <c r="C2" s="519"/>
      <c r="D2" s="519"/>
      <c r="E2" s="519"/>
      <c r="F2" s="519"/>
      <c r="G2" s="18"/>
      <c r="H2" s="18"/>
      <c r="I2" s="18"/>
      <c r="K2" s="16"/>
    </row>
    <row r="3" spans="1:14" ht="15" thickBot="1" x14ac:dyDescent="0.25">
      <c r="F3" s="296" t="s">
        <v>0</v>
      </c>
      <c r="G3" s="23"/>
      <c r="H3" s="23"/>
      <c r="I3" s="23"/>
    </row>
    <row r="4" spans="1:14" s="25" customFormat="1" ht="24" thickTop="1" thickBot="1" x14ac:dyDescent="0.25">
      <c r="A4" s="268" t="s">
        <v>9</v>
      </c>
      <c r="B4" s="269" t="s">
        <v>10</v>
      </c>
      <c r="C4" s="270" t="s">
        <v>11</v>
      </c>
      <c r="D4" s="270" t="s">
        <v>12</v>
      </c>
      <c r="E4" s="270" t="s">
        <v>4</v>
      </c>
      <c r="F4" s="271" t="s">
        <v>5</v>
      </c>
      <c r="G4" s="24"/>
      <c r="H4" s="24"/>
      <c r="I4" s="24"/>
      <c r="J4" s="73"/>
      <c r="K4" s="66"/>
      <c r="N4" s="26"/>
    </row>
    <row r="5" spans="1:14" s="25" customFormat="1" thickTop="1" thickBot="1" x14ac:dyDescent="0.25">
      <c r="A5" s="266">
        <v>1</v>
      </c>
      <c r="B5" s="264">
        <v>2</v>
      </c>
      <c r="C5" s="264">
        <v>3</v>
      </c>
      <c r="D5" s="264">
        <v>4</v>
      </c>
      <c r="E5" s="264">
        <v>5</v>
      </c>
      <c r="F5" s="272" t="s">
        <v>97</v>
      </c>
      <c r="G5" s="24"/>
      <c r="H5" s="24"/>
      <c r="I5" s="24"/>
      <c r="J5" s="73"/>
      <c r="K5" s="66"/>
      <c r="N5" s="26"/>
    </row>
    <row r="6" spans="1:14" s="19" customFormat="1" ht="15.75" thickTop="1" x14ac:dyDescent="0.25">
      <c r="A6" s="324" t="s">
        <v>13</v>
      </c>
      <c r="B6" s="113">
        <v>1</v>
      </c>
      <c r="C6" s="86">
        <f>SUM(C7:C9)</f>
        <v>41281</v>
      </c>
      <c r="D6" s="86">
        <f t="shared" ref="D6:E6" si="0">SUM(D7:D9)</f>
        <v>42112</v>
      </c>
      <c r="E6" s="86">
        <f t="shared" si="0"/>
        <v>11978</v>
      </c>
      <c r="F6" s="349">
        <f t="shared" ref="F6:F32" si="1">(E6/D6)*100</f>
        <v>28.443199088145899</v>
      </c>
      <c r="G6" s="27"/>
      <c r="H6" s="27"/>
      <c r="I6" s="27"/>
      <c r="J6" s="193"/>
      <c r="K6" s="67"/>
      <c r="N6" s="250"/>
    </row>
    <row r="7" spans="1:14" s="32" customFormat="1" x14ac:dyDescent="0.2">
      <c r="A7" s="28" t="s">
        <v>109</v>
      </c>
      <c r="B7" s="308"/>
      <c r="C7" s="30">
        <f>41281-C9</f>
        <v>40711</v>
      </c>
      <c r="D7" s="30">
        <f>41962-D9</f>
        <v>41392</v>
      </c>
      <c r="E7" s="30">
        <f>11904-E9</f>
        <v>11662</v>
      </c>
      <c r="F7" s="350">
        <f t="shared" si="1"/>
        <v>28.174526478546579</v>
      </c>
      <c r="G7" s="31"/>
      <c r="H7" s="31"/>
      <c r="I7" s="31"/>
      <c r="J7" s="193"/>
      <c r="K7" s="55"/>
      <c r="N7" s="33"/>
    </row>
    <row r="8" spans="1:14" s="32" customFormat="1" x14ac:dyDescent="0.2">
      <c r="A8" s="28" t="s">
        <v>107</v>
      </c>
      <c r="B8" s="303"/>
      <c r="C8" s="30">
        <v>0</v>
      </c>
      <c r="D8" s="30">
        <v>150</v>
      </c>
      <c r="E8" s="30">
        <v>74</v>
      </c>
      <c r="F8" s="350">
        <f t="shared" si="1"/>
        <v>49.333333333333336</v>
      </c>
      <c r="G8" s="31"/>
      <c r="H8" s="31"/>
      <c r="I8" s="31"/>
      <c r="J8" s="193"/>
      <c r="K8" s="55"/>
      <c r="N8" s="33"/>
    </row>
    <row r="9" spans="1:14" s="32" customFormat="1" x14ac:dyDescent="0.2">
      <c r="A9" s="317" t="s">
        <v>108</v>
      </c>
      <c r="B9" s="311"/>
      <c r="C9" s="351">
        <v>570</v>
      </c>
      <c r="D9" s="351">
        <v>570</v>
      </c>
      <c r="E9" s="351">
        <v>242</v>
      </c>
      <c r="F9" s="304">
        <f t="shared" si="1"/>
        <v>42.456140350877192</v>
      </c>
      <c r="G9" s="31"/>
      <c r="H9" s="31"/>
      <c r="I9" s="31"/>
      <c r="J9" s="31"/>
      <c r="K9" s="55"/>
      <c r="N9" s="33"/>
    </row>
    <row r="10" spans="1:14" s="35" customFormat="1" ht="15" x14ac:dyDescent="0.25">
      <c r="A10" s="312" t="s">
        <v>86</v>
      </c>
      <c r="B10" s="325">
        <v>3</v>
      </c>
      <c r="C10" s="348">
        <f>SUM(C11:C13)</f>
        <v>433137</v>
      </c>
      <c r="D10" s="348">
        <f>SUM(D11:D13)</f>
        <v>463518</v>
      </c>
      <c r="E10" s="348">
        <f>SUM(E11:E13)</f>
        <v>172739</v>
      </c>
      <c r="F10" s="349">
        <f t="shared" si="1"/>
        <v>37.266945404493462</v>
      </c>
      <c r="G10" s="251"/>
      <c r="H10" s="27"/>
      <c r="I10" s="27"/>
      <c r="J10" s="27"/>
      <c r="K10" s="67"/>
      <c r="N10" s="36"/>
    </row>
    <row r="11" spans="1:14" s="35" customFormat="1" x14ac:dyDescent="0.2">
      <c r="A11" s="28" t="s">
        <v>109</v>
      </c>
      <c r="B11" s="37"/>
      <c r="C11" s="30">
        <f>432487-C13</f>
        <v>421999</v>
      </c>
      <c r="D11" s="30">
        <f>460568-D13</f>
        <v>449860</v>
      </c>
      <c r="E11" s="30">
        <f>172739-E13</f>
        <v>167639</v>
      </c>
      <c r="F11" s="350">
        <f t="shared" si="1"/>
        <v>37.264704574756593</v>
      </c>
      <c r="G11" s="31"/>
      <c r="H11" s="31"/>
      <c r="I11" s="31"/>
      <c r="J11" s="31"/>
      <c r="K11" s="55"/>
      <c r="N11" s="36"/>
    </row>
    <row r="12" spans="1:14" s="35" customFormat="1" x14ac:dyDescent="0.2">
      <c r="A12" s="28" t="s">
        <v>107</v>
      </c>
      <c r="B12" s="37"/>
      <c r="C12" s="30">
        <v>650</v>
      </c>
      <c r="D12" s="30">
        <v>2950</v>
      </c>
      <c r="E12" s="30">
        <v>0</v>
      </c>
      <c r="F12" s="350">
        <f>(E12/D12)*100</f>
        <v>0</v>
      </c>
      <c r="G12" s="31"/>
      <c r="H12" s="31"/>
      <c r="I12" s="31"/>
      <c r="J12" s="31"/>
      <c r="K12" s="55"/>
      <c r="N12" s="36"/>
    </row>
    <row r="13" spans="1:14" s="32" customFormat="1" x14ac:dyDescent="0.2">
      <c r="A13" s="317" t="s">
        <v>108</v>
      </c>
      <c r="B13" s="308"/>
      <c r="C13" s="30">
        <v>10488</v>
      </c>
      <c r="D13" s="30">
        <v>10708</v>
      </c>
      <c r="E13" s="30">
        <v>5100</v>
      </c>
      <c r="F13" s="304">
        <f t="shared" si="1"/>
        <v>47.627941725812477</v>
      </c>
      <c r="G13" s="31"/>
      <c r="H13" s="31"/>
      <c r="I13" s="31"/>
      <c r="J13" s="31"/>
      <c r="K13" s="55"/>
      <c r="N13" s="33"/>
    </row>
    <row r="14" spans="1:14" s="35" customFormat="1" ht="16.5" customHeight="1" x14ac:dyDescent="0.25">
      <c r="A14" s="321" t="s">
        <v>87</v>
      </c>
      <c r="B14" s="325">
        <v>4</v>
      </c>
      <c r="C14" s="348">
        <f>SUM(C15:C16)</f>
        <v>4494</v>
      </c>
      <c r="D14" s="348">
        <f t="shared" ref="D14:E14" si="2">SUM(D15:D16)</f>
        <v>24425</v>
      </c>
      <c r="E14" s="348">
        <f t="shared" si="2"/>
        <v>1697</v>
      </c>
      <c r="F14" s="349">
        <f t="shared" si="1"/>
        <v>6.9477993858751281</v>
      </c>
      <c r="G14" s="251"/>
      <c r="H14" s="27"/>
      <c r="I14" s="27"/>
      <c r="J14" s="27"/>
      <c r="K14" s="67"/>
      <c r="N14" s="36"/>
    </row>
    <row r="15" spans="1:14" s="35" customFormat="1" x14ac:dyDescent="0.2">
      <c r="A15" s="28" t="s">
        <v>109</v>
      </c>
      <c r="B15" s="37"/>
      <c r="C15" s="30">
        <v>2262</v>
      </c>
      <c r="D15" s="30">
        <v>22193</v>
      </c>
      <c r="E15" s="30">
        <v>501</v>
      </c>
      <c r="F15" s="350">
        <f t="shared" si="1"/>
        <v>2.2574685711710898</v>
      </c>
      <c r="G15" s="31"/>
      <c r="H15" s="31"/>
      <c r="I15" s="31"/>
      <c r="J15" s="31"/>
      <c r="K15" s="55"/>
      <c r="N15" s="36"/>
    </row>
    <row r="16" spans="1:14" s="35" customFormat="1" x14ac:dyDescent="0.2">
      <c r="A16" s="28" t="s">
        <v>107</v>
      </c>
      <c r="B16" s="37"/>
      <c r="C16" s="30">
        <v>2232</v>
      </c>
      <c r="D16" s="30">
        <v>2232</v>
      </c>
      <c r="E16" s="30">
        <v>1196</v>
      </c>
      <c r="F16" s="304">
        <f t="shared" si="1"/>
        <v>53.584229390681003</v>
      </c>
      <c r="G16" s="31"/>
      <c r="H16" s="31"/>
      <c r="I16" s="31"/>
      <c r="J16" s="31"/>
      <c r="K16" s="55"/>
      <c r="N16" s="36"/>
    </row>
    <row r="17" spans="1:14" s="35" customFormat="1" ht="15" x14ac:dyDescent="0.25">
      <c r="A17" s="312" t="s">
        <v>119</v>
      </c>
      <c r="B17" s="325">
        <v>6</v>
      </c>
      <c r="C17" s="348">
        <f>SUM(C18:C19)</f>
        <v>30260</v>
      </c>
      <c r="D17" s="348">
        <f>SUM(D18:D19)</f>
        <v>32278</v>
      </c>
      <c r="E17" s="348">
        <f>SUM(E18:E19)</f>
        <v>13712</v>
      </c>
      <c r="F17" s="349">
        <f t="shared" ref="F17" si="3">(E17/D17)*100</f>
        <v>42.480946774893113</v>
      </c>
      <c r="G17" s="31"/>
      <c r="H17" s="31"/>
      <c r="I17" s="31"/>
      <c r="J17" s="31"/>
      <c r="K17" s="55"/>
      <c r="N17" s="36"/>
    </row>
    <row r="18" spans="1:14" s="35" customFormat="1" x14ac:dyDescent="0.2">
      <c r="A18" s="28" t="s">
        <v>109</v>
      </c>
      <c r="B18" s="37"/>
      <c r="C18" s="30">
        <v>28260</v>
      </c>
      <c r="D18" s="30">
        <v>28478</v>
      </c>
      <c r="E18" s="30">
        <v>13483</v>
      </c>
      <c r="F18" s="350">
        <f>(E18/D18)*100</f>
        <v>47.345319193763608</v>
      </c>
      <c r="G18" s="31"/>
      <c r="H18" s="31"/>
      <c r="I18" s="31"/>
      <c r="J18" s="31"/>
      <c r="K18" s="55"/>
      <c r="N18" s="36"/>
    </row>
    <row r="19" spans="1:14" s="35" customFormat="1" x14ac:dyDescent="0.2">
      <c r="A19" s="28" t="s">
        <v>107</v>
      </c>
      <c r="B19" s="37"/>
      <c r="C19" s="30">
        <v>2000</v>
      </c>
      <c r="D19" s="30">
        <v>3800</v>
      </c>
      <c r="E19" s="30">
        <v>229</v>
      </c>
      <c r="F19" s="304">
        <f t="shared" ref="F19" si="4">(E19/D19)*100</f>
        <v>6.0263157894736841</v>
      </c>
      <c r="G19" s="31"/>
      <c r="H19" s="31"/>
      <c r="I19" s="31"/>
      <c r="J19" s="31"/>
      <c r="K19" s="55"/>
      <c r="N19" s="36"/>
    </row>
    <row r="20" spans="1:14" s="35" customFormat="1" ht="15" x14ac:dyDescent="0.25">
      <c r="A20" s="312" t="s">
        <v>19</v>
      </c>
      <c r="B20" s="325">
        <v>7</v>
      </c>
      <c r="C20" s="348">
        <f>SUM(C21:C24)</f>
        <v>251006</v>
      </c>
      <c r="D20" s="348">
        <f>SUM(D21:D24)</f>
        <v>296282</v>
      </c>
      <c r="E20" s="348">
        <f t="shared" ref="E20" si="5">SUM(E21:E24)</f>
        <v>10332805</v>
      </c>
      <c r="F20" s="349">
        <f t="shared" si="1"/>
        <v>3487.4899588905164</v>
      </c>
      <c r="G20" s="27"/>
      <c r="H20" s="27"/>
      <c r="I20" s="27"/>
      <c r="J20" s="27"/>
      <c r="K20" s="67"/>
      <c r="N20" s="36"/>
    </row>
    <row r="21" spans="1:14" s="35" customFormat="1" x14ac:dyDescent="0.2">
      <c r="A21" s="28" t="s">
        <v>109</v>
      </c>
      <c r="B21" s="37"/>
      <c r="C21" s="30">
        <f>251006-C24-C23</f>
        <v>169670</v>
      </c>
      <c r="D21" s="30">
        <f>296282-D24-D23</f>
        <v>296282</v>
      </c>
      <c r="E21" s="30">
        <f>10332805-E24-E23</f>
        <v>33509</v>
      </c>
      <c r="F21" s="350">
        <f>(E21/D21)*100</f>
        <v>11.309833199451875</v>
      </c>
      <c r="G21" s="88"/>
      <c r="H21" s="31"/>
      <c r="I21" s="31"/>
      <c r="J21" s="31"/>
      <c r="K21" s="55"/>
      <c r="N21" s="36"/>
    </row>
    <row r="22" spans="1:14" s="35" customFormat="1" x14ac:dyDescent="0.2">
      <c r="A22" s="28" t="s">
        <v>107</v>
      </c>
      <c r="B22" s="37"/>
      <c r="C22" s="30">
        <v>0</v>
      </c>
      <c r="D22" s="30">
        <v>0</v>
      </c>
      <c r="E22" s="30">
        <v>0</v>
      </c>
      <c r="F22" s="350">
        <v>0</v>
      </c>
      <c r="G22" s="31"/>
      <c r="H22" s="31"/>
      <c r="I22" s="31"/>
      <c r="J22" s="31"/>
      <c r="K22" s="55"/>
      <c r="N22" s="36"/>
    </row>
    <row r="23" spans="1:14" s="32" customFormat="1" x14ac:dyDescent="0.2">
      <c r="A23" s="309" t="s">
        <v>110</v>
      </c>
      <c r="B23" s="308"/>
      <c r="C23" s="30">
        <v>81336</v>
      </c>
      <c r="D23" s="30">
        <v>0</v>
      </c>
      <c r="E23" s="30">
        <v>0</v>
      </c>
      <c r="F23" s="350">
        <v>0</v>
      </c>
      <c r="G23" s="31"/>
      <c r="H23" s="31"/>
      <c r="I23" s="31"/>
      <c r="J23" s="31"/>
      <c r="K23" s="55"/>
      <c r="N23" s="33"/>
    </row>
    <row r="24" spans="1:14" s="32" customFormat="1" x14ac:dyDescent="0.2">
      <c r="A24" s="317" t="s">
        <v>108</v>
      </c>
      <c r="B24" s="311"/>
      <c r="C24" s="351">
        <v>0</v>
      </c>
      <c r="D24" s="351">
        <v>0</v>
      </c>
      <c r="E24" s="351">
        <v>10299296</v>
      </c>
      <c r="F24" s="304">
        <v>0</v>
      </c>
      <c r="G24" s="31"/>
      <c r="H24" s="31"/>
      <c r="I24" s="31"/>
      <c r="J24" s="31"/>
      <c r="K24" s="55"/>
      <c r="N24" s="33"/>
    </row>
    <row r="25" spans="1:14" s="35" customFormat="1" ht="15" x14ac:dyDescent="0.25">
      <c r="A25" s="326" t="s">
        <v>88</v>
      </c>
      <c r="B25" s="37">
        <v>8</v>
      </c>
      <c r="C25" s="352">
        <f>SUM(C26:C28)</f>
        <v>61434</v>
      </c>
      <c r="D25" s="352">
        <f t="shared" ref="D25:E25" si="6">SUM(D26:D28)</f>
        <v>76196</v>
      </c>
      <c r="E25" s="352">
        <f t="shared" si="6"/>
        <v>18338</v>
      </c>
      <c r="F25" s="349">
        <f>(E25/D25)*100</f>
        <v>24.066880151189039</v>
      </c>
      <c r="G25" s="27"/>
      <c r="H25" s="27"/>
      <c r="I25" s="27"/>
      <c r="J25" s="27"/>
      <c r="K25" s="67"/>
      <c r="N25" s="36"/>
    </row>
    <row r="26" spans="1:14" s="35" customFormat="1" x14ac:dyDescent="0.2">
      <c r="A26" s="28" t="s">
        <v>109</v>
      </c>
      <c r="B26" s="37"/>
      <c r="C26" s="30">
        <f>61434-C28-C27</f>
        <v>20109</v>
      </c>
      <c r="D26" s="30">
        <f>76196-D28-D27</f>
        <v>20109</v>
      </c>
      <c r="E26" s="30">
        <f>18338-E28-E27</f>
        <v>4977</v>
      </c>
      <c r="F26" s="350">
        <f t="shared" si="1"/>
        <v>24.750111890198419</v>
      </c>
      <c r="G26" s="31"/>
      <c r="H26" s="31"/>
      <c r="I26" s="31"/>
      <c r="J26" s="31"/>
      <c r="K26" s="55"/>
      <c r="N26" s="36"/>
    </row>
    <row r="27" spans="1:14" s="35" customFormat="1" x14ac:dyDescent="0.2">
      <c r="A27" s="28" t="s">
        <v>107</v>
      </c>
      <c r="B27" s="37"/>
      <c r="C27" s="30">
        <v>0</v>
      </c>
      <c r="D27" s="30">
        <v>0</v>
      </c>
      <c r="E27" s="30">
        <v>0</v>
      </c>
      <c r="F27" s="350">
        <v>0</v>
      </c>
      <c r="G27" s="31"/>
      <c r="H27" s="31"/>
      <c r="I27" s="31"/>
      <c r="J27" s="31"/>
      <c r="K27" s="55"/>
      <c r="N27" s="36"/>
    </row>
    <row r="28" spans="1:14" s="32" customFormat="1" x14ac:dyDescent="0.2">
      <c r="A28" s="317" t="s">
        <v>110</v>
      </c>
      <c r="B28" s="311"/>
      <c r="C28" s="351">
        <v>41325</v>
      </c>
      <c r="D28" s="351">
        <v>56087</v>
      </c>
      <c r="E28" s="351">
        <v>13361</v>
      </c>
      <c r="F28" s="304">
        <f t="shared" si="1"/>
        <v>23.821919517891846</v>
      </c>
      <c r="G28" s="31"/>
      <c r="H28" s="31"/>
      <c r="I28" s="31"/>
      <c r="J28" s="193"/>
      <c r="K28" s="55"/>
      <c r="N28" s="33"/>
    </row>
    <row r="29" spans="1:14" ht="15" customHeight="1" x14ac:dyDescent="0.25">
      <c r="A29" s="326" t="s">
        <v>20</v>
      </c>
      <c r="B29" s="37">
        <v>9</v>
      </c>
      <c r="C29" s="352">
        <f>SUM(C30:C32)</f>
        <v>17425</v>
      </c>
      <c r="D29" s="352">
        <f t="shared" ref="D29" si="7">SUM(D30:D32)</f>
        <v>36485</v>
      </c>
      <c r="E29" s="352">
        <f>SUM(E30:E32)</f>
        <v>17293</v>
      </c>
      <c r="F29" s="349">
        <f t="shared" si="1"/>
        <v>47.397560641359462</v>
      </c>
      <c r="G29" s="251"/>
      <c r="H29" s="27"/>
      <c r="I29" s="27"/>
      <c r="J29" s="193"/>
      <c r="K29" s="67"/>
    </row>
    <row r="30" spans="1:14" ht="15" customHeight="1" x14ac:dyDescent="0.2">
      <c r="A30" s="28" t="s">
        <v>109</v>
      </c>
      <c r="B30" s="37"/>
      <c r="C30" s="446">
        <f>17425-C32</f>
        <v>3437</v>
      </c>
      <c r="D30" s="446">
        <f>36485-D32</f>
        <v>8835</v>
      </c>
      <c r="E30" s="446">
        <f>17293-E32</f>
        <v>4412</v>
      </c>
      <c r="F30" s="350">
        <f>(E30/D30)*100</f>
        <v>49.937747594793436</v>
      </c>
      <c r="G30" s="31"/>
      <c r="H30" s="31"/>
      <c r="I30" s="31"/>
      <c r="J30" s="193"/>
      <c r="K30" s="55"/>
    </row>
    <row r="31" spans="1:14" ht="15" customHeight="1" x14ac:dyDescent="0.2">
      <c r="A31" s="28" t="s">
        <v>107</v>
      </c>
      <c r="B31" s="37"/>
      <c r="C31" s="30">
        <v>0</v>
      </c>
      <c r="D31" s="446">
        <v>0</v>
      </c>
      <c r="E31" s="30">
        <v>0</v>
      </c>
      <c r="F31" s="350">
        <v>0</v>
      </c>
      <c r="G31" s="31"/>
      <c r="H31" s="31"/>
      <c r="I31" s="88"/>
      <c r="J31" s="88"/>
      <c r="K31" s="55"/>
    </row>
    <row r="32" spans="1:14" s="32" customFormat="1" x14ac:dyDescent="0.2">
      <c r="A32" s="317" t="s">
        <v>110</v>
      </c>
      <c r="B32" s="311"/>
      <c r="C32" s="351">
        <v>13988</v>
      </c>
      <c r="D32" s="447">
        <v>27650</v>
      </c>
      <c r="E32" s="447">
        <v>12881</v>
      </c>
      <c r="F32" s="350">
        <f t="shared" si="1"/>
        <v>46.585895117540687</v>
      </c>
      <c r="G32" s="31"/>
      <c r="H32" s="252"/>
      <c r="I32" s="252"/>
      <c r="J32" s="252"/>
      <c r="K32" s="55"/>
      <c r="N32" s="33"/>
    </row>
    <row r="33" spans="1:15" s="48" customFormat="1" ht="15" x14ac:dyDescent="0.25">
      <c r="A33" s="321" t="s">
        <v>99</v>
      </c>
      <c r="B33" s="322">
        <v>10</v>
      </c>
      <c r="C33" s="348">
        <f>C34+C38+C41</f>
        <v>31261</v>
      </c>
      <c r="D33" s="348">
        <f>D34+D38+D41</f>
        <v>10874975</v>
      </c>
      <c r="E33" s="348">
        <f>E34+E38+E41</f>
        <v>5454323</v>
      </c>
      <c r="F33" s="445">
        <f t="shared" ref="F33:F59" si="8">(E33/D33)*100</f>
        <v>50.154809551286327</v>
      </c>
      <c r="G33" s="27"/>
      <c r="H33" s="67"/>
      <c r="I33" s="67"/>
      <c r="J33" s="193"/>
      <c r="K33" s="67"/>
      <c r="N33" s="253"/>
    </row>
    <row r="34" spans="1:15" s="48" customFormat="1" x14ac:dyDescent="0.2">
      <c r="A34" s="307" t="s">
        <v>21</v>
      </c>
      <c r="B34" s="306"/>
      <c r="C34" s="353">
        <f>C35+C36+C37</f>
        <v>21566</v>
      </c>
      <c r="D34" s="353">
        <f>D35+D36+D37</f>
        <v>32721</v>
      </c>
      <c r="E34" s="353">
        <f>E35+E36+E37</f>
        <v>31072</v>
      </c>
      <c r="F34" s="350">
        <f t="shared" si="8"/>
        <v>94.960422969958131</v>
      </c>
      <c r="G34" s="31"/>
      <c r="H34" s="31"/>
      <c r="I34" s="31"/>
      <c r="J34" s="69"/>
      <c r="K34" s="254"/>
      <c r="L34" s="76"/>
      <c r="M34" s="76"/>
      <c r="N34" s="69"/>
      <c r="O34" s="76"/>
    </row>
    <row r="35" spans="1:15" s="48" customFormat="1" x14ac:dyDescent="0.2">
      <c r="A35" s="28" t="s">
        <v>109</v>
      </c>
      <c r="B35" s="327"/>
      <c r="C35" s="30">
        <v>1086</v>
      </c>
      <c r="D35" s="30">
        <v>10769</v>
      </c>
      <c r="E35" s="30">
        <v>9666</v>
      </c>
      <c r="F35" s="350">
        <f t="shared" si="8"/>
        <v>89.757637663664227</v>
      </c>
      <c r="G35" s="31"/>
      <c r="H35" s="31"/>
      <c r="I35" s="31"/>
      <c r="J35" s="69"/>
      <c r="K35" s="55"/>
      <c r="L35" s="41"/>
      <c r="M35" s="76"/>
      <c r="N35" s="69"/>
      <c r="O35" s="76"/>
    </row>
    <row r="36" spans="1:15" s="48" customFormat="1" x14ac:dyDescent="0.2">
      <c r="A36" s="28" t="s">
        <v>107</v>
      </c>
      <c r="B36" s="328"/>
      <c r="C36" s="30">
        <v>0</v>
      </c>
      <c r="D36" s="30">
        <v>0</v>
      </c>
      <c r="E36" s="30">
        <v>0</v>
      </c>
      <c r="F36" s="350">
        <v>0</v>
      </c>
      <c r="G36" s="31"/>
      <c r="H36" s="31"/>
      <c r="I36" s="31"/>
      <c r="J36" s="69"/>
      <c r="K36" s="55"/>
      <c r="L36" s="255"/>
      <c r="M36" s="76"/>
      <c r="N36" s="69"/>
      <c r="O36" s="76"/>
    </row>
    <row r="37" spans="1:15" s="48" customFormat="1" x14ac:dyDescent="0.2">
      <c r="A37" s="309" t="s">
        <v>110</v>
      </c>
      <c r="B37" s="328"/>
      <c r="C37" s="30">
        <v>20480</v>
      </c>
      <c r="D37" s="30">
        <v>21952</v>
      </c>
      <c r="E37" s="30">
        <v>21406</v>
      </c>
      <c r="F37" s="350">
        <f>(E37/D37)*100</f>
        <v>97.512755102040813</v>
      </c>
      <c r="G37" s="31"/>
      <c r="H37" s="31"/>
      <c r="I37" s="31"/>
      <c r="J37" s="69"/>
      <c r="K37" s="55"/>
      <c r="L37" s="255"/>
      <c r="M37" s="76"/>
      <c r="N37" s="69"/>
      <c r="O37" s="76"/>
    </row>
    <row r="38" spans="1:15" s="48" customFormat="1" x14ac:dyDescent="0.2">
      <c r="A38" s="51" t="s">
        <v>22</v>
      </c>
      <c r="B38" s="328"/>
      <c r="C38" s="353">
        <f>C39+C40</f>
        <v>9695</v>
      </c>
      <c r="D38" s="353">
        <f>D39+D40</f>
        <v>3743957</v>
      </c>
      <c r="E38" s="353">
        <f>E39+E40</f>
        <v>1765734</v>
      </c>
      <c r="F38" s="350">
        <f t="shared" si="8"/>
        <v>47.162240378294946</v>
      </c>
      <c r="G38" s="31"/>
      <c r="H38" s="31"/>
      <c r="I38" s="31"/>
      <c r="J38" s="193"/>
      <c r="K38" s="254"/>
      <c r="L38" s="76"/>
      <c r="M38" s="76"/>
      <c r="N38" s="69"/>
      <c r="O38" s="76"/>
    </row>
    <row r="39" spans="1:15" s="48" customFormat="1" x14ac:dyDescent="0.2">
      <c r="A39" s="28" t="s">
        <v>109</v>
      </c>
      <c r="B39" s="328"/>
      <c r="C39" s="30">
        <f>10575-880</f>
        <v>9695</v>
      </c>
      <c r="D39" s="30">
        <v>3739323</v>
      </c>
      <c r="E39" s="30">
        <v>1765734</v>
      </c>
      <c r="F39" s="350">
        <f t="shared" si="8"/>
        <v>47.220686739284091</v>
      </c>
      <c r="G39" s="256"/>
      <c r="H39" s="256"/>
      <c r="I39" s="31"/>
      <c r="J39" s="193"/>
      <c r="K39" s="55"/>
      <c r="L39" s="76"/>
      <c r="M39" s="76"/>
      <c r="N39" s="69"/>
      <c r="O39" s="76"/>
    </row>
    <row r="40" spans="1:15" s="48" customFormat="1" x14ac:dyDescent="0.2">
      <c r="A40" s="28" t="s">
        <v>107</v>
      </c>
      <c r="B40" s="328"/>
      <c r="C40" s="30">
        <v>0</v>
      </c>
      <c r="D40" s="30">
        <v>4634</v>
      </c>
      <c r="E40" s="30">
        <v>0</v>
      </c>
      <c r="F40" s="350">
        <f t="shared" si="8"/>
        <v>0</v>
      </c>
      <c r="G40" s="31"/>
      <c r="H40" s="31"/>
      <c r="I40" s="31"/>
      <c r="J40" s="193"/>
      <c r="K40" s="55"/>
      <c r="L40" s="76"/>
      <c r="M40" s="76"/>
      <c r="N40" s="69"/>
      <c r="O40" s="76"/>
    </row>
    <row r="41" spans="1:15" s="48" customFormat="1" x14ac:dyDescent="0.2">
      <c r="A41" s="329" t="s">
        <v>118</v>
      </c>
      <c r="B41" s="328"/>
      <c r="C41" s="448">
        <f>C42+C43</f>
        <v>0</v>
      </c>
      <c r="D41" s="448">
        <f t="shared" ref="D41:E41" si="9">D42+D43</f>
        <v>7098297</v>
      </c>
      <c r="E41" s="448">
        <f t="shared" si="9"/>
        <v>3657517</v>
      </c>
      <c r="F41" s="449">
        <f t="shared" si="8"/>
        <v>51.52668309032434</v>
      </c>
      <c r="G41" s="31"/>
      <c r="H41" s="31"/>
      <c r="I41" s="31"/>
      <c r="J41" s="69"/>
      <c r="K41" s="254"/>
      <c r="L41" s="76"/>
      <c r="M41" s="76"/>
      <c r="N41" s="69"/>
      <c r="O41" s="76"/>
    </row>
    <row r="42" spans="1:15" s="48" customFormat="1" x14ac:dyDescent="0.2">
      <c r="A42" s="28" t="s">
        <v>109</v>
      </c>
      <c r="B42" s="328"/>
      <c r="C42" s="30">
        <f>0+0</f>
        <v>0</v>
      </c>
      <c r="D42" s="30">
        <v>7098297</v>
      </c>
      <c r="E42" s="30">
        <v>3657517</v>
      </c>
      <c r="F42" s="350">
        <f t="shared" si="8"/>
        <v>51.52668309032434</v>
      </c>
      <c r="G42" s="31"/>
      <c r="H42" s="31"/>
      <c r="I42" s="31"/>
      <c r="J42" s="31"/>
      <c r="K42" s="55"/>
      <c r="L42" s="76"/>
      <c r="M42" s="69"/>
      <c r="N42" s="69"/>
      <c r="O42" s="76"/>
    </row>
    <row r="43" spans="1:15" s="48" customFormat="1" x14ac:dyDescent="0.2">
      <c r="A43" s="310" t="s">
        <v>107</v>
      </c>
      <c r="B43" s="330"/>
      <c r="C43" s="351">
        <v>0</v>
      </c>
      <c r="D43" s="351">
        <v>0</v>
      </c>
      <c r="E43" s="351">
        <v>0</v>
      </c>
      <c r="F43" s="304">
        <v>0</v>
      </c>
      <c r="G43" s="31"/>
      <c r="H43" s="31"/>
      <c r="I43" s="166"/>
      <c r="J43" s="69"/>
      <c r="K43" s="55"/>
      <c r="L43" s="76"/>
      <c r="M43" s="69"/>
      <c r="N43" s="69"/>
      <c r="O43" s="76"/>
    </row>
    <row r="44" spans="1:15" ht="15" x14ac:dyDescent="0.25">
      <c r="A44" s="305" t="s">
        <v>23</v>
      </c>
      <c r="B44" s="306">
        <v>11</v>
      </c>
      <c r="C44" s="352">
        <f>C45+C49</f>
        <v>52770</v>
      </c>
      <c r="D44" s="352">
        <f>D45+D49</f>
        <v>1937364</v>
      </c>
      <c r="E44" s="352">
        <f>E45+E49</f>
        <v>1649119</v>
      </c>
      <c r="F44" s="349">
        <f t="shared" si="8"/>
        <v>85.121794355629604</v>
      </c>
      <c r="G44" s="251"/>
      <c r="H44" s="67"/>
      <c r="I44" s="67"/>
      <c r="J44" s="193"/>
      <c r="K44" s="67"/>
      <c r="L44" s="78"/>
      <c r="M44" s="78"/>
      <c r="N44" s="79"/>
      <c r="O44" s="78"/>
    </row>
    <row r="45" spans="1:15" s="32" customFormat="1" x14ac:dyDescent="0.2">
      <c r="A45" s="307" t="s">
        <v>21</v>
      </c>
      <c r="B45" s="308"/>
      <c r="C45" s="353">
        <f>C46+C47+C48</f>
        <v>52770</v>
      </c>
      <c r="D45" s="353">
        <f t="shared" ref="D45:E45" si="10">D46+D47+D48</f>
        <v>853487</v>
      </c>
      <c r="E45" s="353">
        <f t="shared" si="10"/>
        <v>714958</v>
      </c>
      <c r="F45" s="350">
        <f t="shared" si="8"/>
        <v>83.769055650525431</v>
      </c>
      <c r="G45" s="257"/>
      <c r="H45" s="257"/>
      <c r="I45" s="257"/>
      <c r="J45" s="193"/>
      <c r="K45" s="254"/>
      <c r="L45" s="53"/>
      <c r="M45" s="53"/>
      <c r="N45" s="54"/>
      <c r="O45" s="53"/>
    </row>
    <row r="46" spans="1:15" s="32" customFormat="1" x14ac:dyDescent="0.2">
      <c r="A46" s="28" t="s">
        <v>109</v>
      </c>
      <c r="B46" s="308"/>
      <c r="C46" s="30">
        <v>1707</v>
      </c>
      <c r="D46" s="30">
        <v>792595</v>
      </c>
      <c r="E46" s="30">
        <v>696476</v>
      </c>
      <c r="F46" s="350">
        <f t="shared" si="8"/>
        <v>87.872873283328815</v>
      </c>
      <c r="G46" s="257"/>
      <c r="H46" s="257"/>
      <c r="I46" s="257"/>
      <c r="J46" s="193"/>
      <c r="K46" s="55"/>
      <c r="L46" s="77"/>
      <c r="M46" s="53"/>
      <c r="N46" s="54"/>
      <c r="O46" s="53"/>
    </row>
    <row r="47" spans="1:15" s="32" customFormat="1" x14ac:dyDescent="0.2">
      <c r="A47" s="28" t="s">
        <v>107</v>
      </c>
      <c r="B47" s="308"/>
      <c r="C47" s="30">
        <v>0</v>
      </c>
      <c r="D47" s="30">
        <v>0</v>
      </c>
      <c r="E47" s="30">
        <v>0</v>
      </c>
      <c r="F47" s="350">
        <v>0</v>
      </c>
      <c r="G47" s="257"/>
      <c r="H47" s="257"/>
      <c r="I47" s="257"/>
      <c r="J47" s="193"/>
      <c r="K47" s="55"/>
      <c r="L47" s="53"/>
      <c r="M47" s="53"/>
      <c r="N47" s="54"/>
      <c r="O47" s="53"/>
    </row>
    <row r="48" spans="1:15" s="32" customFormat="1" x14ac:dyDescent="0.2">
      <c r="A48" s="309" t="s">
        <v>110</v>
      </c>
      <c r="B48" s="308"/>
      <c r="C48" s="30">
        <v>51063</v>
      </c>
      <c r="D48" s="30">
        <v>60892</v>
      </c>
      <c r="E48" s="30">
        <v>18482</v>
      </c>
      <c r="F48" s="350">
        <f t="shared" si="8"/>
        <v>30.352098797871641</v>
      </c>
      <c r="G48" s="257"/>
      <c r="H48" s="257"/>
      <c r="I48" s="257"/>
      <c r="J48" s="193"/>
      <c r="K48" s="55"/>
      <c r="L48" s="53"/>
      <c r="M48" s="53"/>
      <c r="N48" s="54"/>
      <c r="O48" s="53"/>
    </row>
    <row r="49" spans="1:15" ht="17.45" customHeight="1" x14ac:dyDescent="0.2">
      <c r="A49" s="51" t="s">
        <v>22</v>
      </c>
      <c r="B49" s="306"/>
      <c r="C49" s="353">
        <f>C50+C51</f>
        <v>0</v>
      </c>
      <c r="D49" s="353">
        <f t="shared" ref="D49:E49" si="11">D50+D51</f>
        <v>1083877</v>
      </c>
      <c r="E49" s="353">
        <f t="shared" si="11"/>
        <v>934161</v>
      </c>
      <c r="F49" s="350">
        <f t="shared" ref="F49:F50" si="12">(E49/D49)*100</f>
        <v>86.186993542625217</v>
      </c>
      <c r="G49" s="257"/>
      <c r="H49" s="257"/>
      <c r="I49" s="257"/>
      <c r="J49" s="193"/>
      <c r="K49" s="254"/>
      <c r="L49" s="78"/>
      <c r="M49" s="78"/>
      <c r="N49" s="79"/>
      <c r="O49" s="78"/>
    </row>
    <row r="50" spans="1:15" ht="15" customHeight="1" x14ac:dyDescent="0.2">
      <c r="A50" s="28" t="s">
        <v>109</v>
      </c>
      <c r="B50" s="306"/>
      <c r="C50" s="30">
        <v>0</v>
      </c>
      <c r="D50" s="30">
        <v>1083877</v>
      </c>
      <c r="E50" s="30">
        <v>934161</v>
      </c>
      <c r="F50" s="350">
        <f t="shared" si="12"/>
        <v>86.186993542625217</v>
      </c>
      <c r="G50" s="31"/>
      <c r="H50" s="31"/>
      <c r="I50" s="31"/>
      <c r="J50" s="193"/>
      <c r="K50" s="55"/>
      <c r="L50" s="78"/>
      <c r="M50" s="78"/>
      <c r="N50" s="79"/>
      <c r="O50" s="78"/>
    </row>
    <row r="51" spans="1:15" ht="15" customHeight="1" x14ac:dyDescent="0.2">
      <c r="A51" s="28" t="s">
        <v>107</v>
      </c>
      <c r="B51" s="306"/>
      <c r="C51" s="30">
        <v>0</v>
      </c>
      <c r="D51" s="30">
        <v>0</v>
      </c>
      <c r="E51" s="30">
        <v>0</v>
      </c>
      <c r="F51" s="304">
        <v>0</v>
      </c>
      <c r="G51" s="31"/>
      <c r="H51" s="31"/>
      <c r="I51" s="31"/>
      <c r="J51" s="193"/>
      <c r="K51" s="55"/>
      <c r="L51" s="78"/>
      <c r="M51" s="78"/>
      <c r="N51" s="79"/>
      <c r="O51" s="78"/>
    </row>
    <row r="52" spans="1:15" ht="15" customHeight="1" x14ac:dyDescent="0.25">
      <c r="A52" s="331" t="s">
        <v>24</v>
      </c>
      <c r="B52" s="322">
        <v>12</v>
      </c>
      <c r="C52" s="348">
        <f>C53+C57</f>
        <v>62762</v>
      </c>
      <c r="D52" s="348">
        <f>D53+D57</f>
        <v>1832676</v>
      </c>
      <c r="E52" s="348">
        <f>E53+E57</f>
        <v>567647</v>
      </c>
      <c r="F52" s="349">
        <f t="shared" si="8"/>
        <v>30.973669104631696</v>
      </c>
      <c r="G52" s="27"/>
      <c r="H52" s="67"/>
      <c r="I52" s="67"/>
      <c r="J52" s="193"/>
      <c r="K52" s="67"/>
      <c r="L52" s="78"/>
      <c r="M52" s="78"/>
      <c r="N52" s="79"/>
      <c r="O52" s="78"/>
    </row>
    <row r="53" spans="1:15" ht="15" customHeight="1" x14ac:dyDescent="0.2">
      <c r="A53" s="307" t="s">
        <v>21</v>
      </c>
      <c r="B53" s="306"/>
      <c r="C53" s="353">
        <f>C54+C55+C56</f>
        <v>22040</v>
      </c>
      <c r="D53" s="353">
        <f>D54+D55+D56</f>
        <v>40895</v>
      </c>
      <c r="E53" s="353">
        <f t="shared" ref="E53" si="13">E54+E55+E56</f>
        <v>23618</v>
      </c>
      <c r="F53" s="350">
        <f t="shared" si="8"/>
        <v>57.752781513632478</v>
      </c>
      <c r="G53" s="257"/>
      <c r="H53" s="257"/>
      <c r="I53" s="257"/>
      <c r="J53" s="193"/>
      <c r="K53" s="254"/>
      <c r="L53" s="78"/>
      <c r="M53" s="78"/>
      <c r="N53" s="79"/>
      <c r="O53" s="78"/>
    </row>
    <row r="54" spans="1:15" ht="15" customHeight="1" x14ac:dyDescent="0.2">
      <c r="A54" s="28" t="s">
        <v>109</v>
      </c>
      <c r="B54" s="306"/>
      <c r="C54" s="30">
        <v>2040</v>
      </c>
      <c r="D54" s="30">
        <v>2045</v>
      </c>
      <c r="E54" s="30">
        <v>59</v>
      </c>
      <c r="F54" s="350">
        <f t="shared" si="8"/>
        <v>2.8850855745721269</v>
      </c>
      <c r="G54" s="31"/>
      <c r="H54" s="31"/>
      <c r="I54" s="31"/>
      <c r="J54" s="193"/>
      <c r="K54" s="55"/>
      <c r="L54" s="77"/>
      <c r="M54" s="78"/>
      <c r="N54" s="79"/>
      <c r="O54" s="78"/>
    </row>
    <row r="55" spans="1:15" ht="15" customHeight="1" x14ac:dyDescent="0.2">
      <c r="A55" s="28" t="s">
        <v>107</v>
      </c>
      <c r="B55" s="306"/>
      <c r="C55" s="30">
        <v>0</v>
      </c>
      <c r="D55" s="30">
        <v>0</v>
      </c>
      <c r="E55" s="30">
        <v>0</v>
      </c>
      <c r="F55" s="350">
        <v>0</v>
      </c>
      <c r="G55" s="31"/>
      <c r="H55" s="31"/>
      <c r="I55" s="31"/>
      <c r="J55" s="193"/>
      <c r="K55" s="55"/>
      <c r="L55" s="78"/>
      <c r="M55" s="78"/>
      <c r="N55" s="79"/>
      <c r="O55" s="78"/>
    </row>
    <row r="56" spans="1:15" ht="15" customHeight="1" x14ac:dyDescent="0.2">
      <c r="A56" s="309" t="s">
        <v>110</v>
      </c>
      <c r="B56" s="306"/>
      <c r="C56" s="30">
        <v>20000</v>
      </c>
      <c r="D56" s="30">
        <v>38850</v>
      </c>
      <c r="E56" s="30">
        <v>23559</v>
      </c>
      <c r="F56" s="350">
        <f t="shared" si="8"/>
        <v>60.640926640926637</v>
      </c>
      <c r="G56" s="31"/>
      <c r="H56" s="31"/>
      <c r="I56" s="31"/>
      <c r="J56" s="193"/>
      <c r="K56" s="55"/>
      <c r="L56" s="78"/>
      <c r="M56" s="78"/>
      <c r="N56" s="79"/>
      <c r="O56" s="78"/>
    </row>
    <row r="57" spans="1:15" ht="17.45" customHeight="1" x14ac:dyDescent="0.2">
      <c r="A57" s="51" t="s">
        <v>22</v>
      </c>
      <c r="B57" s="306"/>
      <c r="C57" s="353">
        <f>C58+C59</f>
        <v>40722</v>
      </c>
      <c r="D57" s="353">
        <f t="shared" ref="D57:E57" si="14">D58+D59</f>
        <v>1791781</v>
      </c>
      <c r="E57" s="353">
        <f t="shared" si="14"/>
        <v>544029</v>
      </c>
      <c r="F57" s="350">
        <f t="shared" si="8"/>
        <v>30.362471752965348</v>
      </c>
      <c r="G57" s="257"/>
      <c r="H57" s="31"/>
      <c r="I57" s="31"/>
      <c r="J57" s="31"/>
      <c r="K57" s="55"/>
      <c r="L57" s="78"/>
      <c r="M57" s="78"/>
      <c r="N57" s="79"/>
      <c r="O57" s="78"/>
    </row>
    <row r="58" spans="1:15" ht="15" customHeight="1" x14ac:dyDescent="0.2">
      <c r="A58" s="28" t="s">
        <v>109</v>
      </c>
      <c r="B58" s="306"/>
      <c r="C58" s="30">
        <v>0</v>
      </c>
      <c r="D58" s="30">
        <v>1108969</v>
      </c>
      <c r="E58" s="30">
        <v>111850</v>
      </c>
      <c r="F58" s="350">
        <f t="shared" si="8"/>
        <v>10.085944692773198</v>
      </c>
      <c r="G58" s="31"/>
      <c r="H58" s="31"/>
      <c r="I58" s="31"/>
      <c r="J58" s="193"/>
      <c r="K58" s="55"/>
      <c r="L58" s="78"/>
      <c r="M58" s="78"/>
      <c r="N58" s="79"/>
      <c r="O58" s="78"/>
    </row>
    <row r="59" spans="1:15" ht="15" customHeight="1" thickBot="1" x14ac:dyDescent="0.25">
      <c r="A59" s="334" t="s">
        <v>107</v>
      </c>
      <c r="B59" s="335"/>
      <c r="C59" s="442">
        <v>40722</v>
      </c>
      <c r="D59" s="442">
        <v>682812</v>
      </c>
      <c r="E59" s="442">
        <v>432179</v>
      </c>
      <c r="F59" s="443">
        <f t="shared" si="8"/>
        <v>63.293996004756806</v>
      </c>
      <c r="G59" s="31"/>
      <c r="H59" s="31"/>
      <c r="I59" s="31"/>
      <c r="J59" s="193"/>
      <c r="K59" s="55"/>
      <c r="L59" s="78"/>
      <c r="M59" s="78"/>
      <c r="N59" s="79"/>
      <c r="O59" s="78"/>
    </row>
    <row r="60" spans="1:15" ht="15" customHeight="1" thickTop="1" x14ac:dyDescent="0.2">
      <c r="A60" s="53"/>
      <c r="B60" s="332"/>
      <c r="C60" s="88"/>
      <c r="D60" s="88"/>
      <c r="E60" s="88"/>
      <c r="F60" s="333"/>
      <c r="G60" s="31"/>
      <c r="H60" s="31"/>
      <c r="I60" s="31"/>
      <c r="J60" s="193"/>
      <c r="K60" s="55"/>
      <c r="L60" s="78"/>
      <c r="M60" s="78"/>
      <c r="N60" s="79"/>
      <c r="O60" s="78"/>
    </row>
    <row r="61" spans="1:15" ht="15" customHeight="1" thickBot="1" x14ac:dyDescent="0.25">
      <c r="A61" s="298"/>
      <c r="B61" s="243"/>
      <c r="C61" s="299"/>
      <c r="D61" s="299"/>
      <c r="E61" s="299"/>
      <c r="F61" s="296" t="s">
        <v>0</v>
      </c>
      <c r="G61" s="31"/>
      <c r="H61" s="31"/>
      <c r="I61" s="31"/>
      <c r="J61" s="193"/>
      <c r="K61" s="55"/>
      <c r="L61" s="78"/>
      <c r="M61" s="78"/>
      <c r="N61" s="79"/>
      <c r="O61" s="78"/>
    </row>
    <row r="62" spans="1:15" ht="15" customHeight="1" thickTop="1" thickBot="1" x14ac:dyDescent="0.25">
      <c r="A62" s="268" t="s">
        <v>9</v>
      </c>
      <c r="B62" s="269" t="s">
        <v>10</v>
      </c>
      <c r="C62" s="270" t="s">
        <v>11</v>
      </c>
      <c r="D62" s="270" t="s">
        <v>12</v>
      </c>
      <c r="E62" s="270" t="s">
        <v>4</v>
      </c>
      <c r="F62" s="271" t="s">
        <v>5</v>
      </c>
      <c r="G62" s="31"/>
      <c r="H62" s="31"/>
      <c r="I62" s="31"/>
      <c r="J62" s="193"/>
      <c r="K62" s="55"/>
      <c r="L62" s="78"/>
      <c r="M62" s="78"/>
      <c r="N62" s="79"/>
      <c r="O62" s="78"/>
    </row>
    <row r="63" spans="1:15" ht="15" customHeight="1" thickTop="1" thickBot="1" x14ac:dyDescent="0.25">
      <c r="A63" s="266">
        <v>1</v>
      </c>
      <c r="B63" s="264">
        <v>2</v>
      </c>
      <c r="C63" s="264">
        <v>3</v>
      </c>
      <c r="D63" s="264">
        <v>4</v>
      </c>
      <c r="E63" s="264">
        <v>5</v>
      </c>
      <c r="F63" s="272" t="s">
        <v>97</v>
      </c>
      <c r="G63" s="31"/>
      <c r="H63" s="31"/>
      <c r="I63" s="31"/>
      <c r="J63" s="193"/>
      <c r="K63" s="55"/>
      <c r="L63" s="78"/>
      <c r="M63" s="78"/>
      <c r="N63" s="79"/>
      <c r="O63" s="78"/>
    </row>
    <row r="64" spans="1:15" ht="15" customHeight="1" thickTop="1" x14ac:dyDescent="0.25">
      <c r="A64" s="331" t="s">
        <v>111</v>
      </c>
      <c r="B64" s="322">
        <v>13</v>
      </c>
      <c r="C64" s="348">
        <f>C65+C69</f>
        <v>200310</v>
      </c>
      <c r="D64" s="348">
        <f>D65+D69</f>
        <v>345873</v>
      </c>
      <c r="E64" s="348">
        <f>E65+E69</f>
        <v>160746</v>
      </c>
      <c r="F64" s="349">
        <f t="shared" ref="F64:F71" si="15">(E64/D64)*100</f>
        <v>46.475440407317137</v>
      </c>
      <c r="G64" s="31"/>
      <c r="H64" s="31"/>
      <c r="I64" s="31"/>
      <c r="J64" s="193"/>
      <c r="K64" s="55"/>
      <c r="L64" s="78"/>
      <c r="M64" s="78"/>
      <c r="N64" s="79"/>
      <c r="O64" s="78"/>
    </row>
    <row r="65" spans="1:15" ht="15" customHeight="1" x14ac:dyDescent="0.2">
      <c r="A65" s="307" t="s">
        <v>21</v>
      </c>
      <c r="B65" s="306"/>
      <c r="C65" s="353">
        <f>C66+C67+C68</f>
        <v>187488</v>
      </c>
      <c r="D65" s="353">
        <f t="shared" ref="D65:E65" si="16">D66+D67+D68</f>
        <v>243727</v>
      </c>
      <c r="E65" s="353">
        <f t="shared" si="16"/>
        <v>158682</v>
      </c>
      <c r="F65" s="350">
        <f t="shared" si="15"/>
        <v>65.106451070254835</v>
      </c>
      <c r="G65" s="31"/>
      <c r="H65" s="31"/>
      <c r="I65" s="31"/>
      <c r="J65" s="193"/>
      <c r="K65" s="55"/>
      <c r="L65" s="78"/>
      <c r="M65" s="78"/>
      <c r="N65" s="79"/>
      <c r="O65" s="78"/>
    </row>
    <row r="66" spans="1:15" ht="15" customHeight="1" x14ac:dyDescent="0.2">
      <c r="A66" s="28" t="s">
        <v>109</v>
      </c>
      <c r="B66" s="306"/>
      <c r="C66" s="30">
        <v>9448</v>
      </c>
      <c r="D66" s="30">
        <v>27147</v>
      </c>
      <c r="E66" s="30">
        <v>13378</v>
      </c>
      <c r="F66" s="350">
        <f t="shared" si="15"/>
        <v>49.279846760231329</v>
      </c>
      <c r="G66" s="31"/>
      <c r="H66" s="31"/>
      <c r="I66" s="31"/>
      <c r="J66" s="193"/>
      <c r="K66" s="55"/>
      <c r="L66" s="78"/>
      <c r="M66" s="78"/>
      <c r="N66" s="79"/>
      <c r="O66" s="78"/>
    </row>
    <row r="67" spans="1:15" ht="15" customHeight="1" x14ac:dyDescent="0.2">
      <c r="A67" s="28" t="s">
        <v>107</v>
      </c>
      <c r="B67" s="306"/>
      <c r="C67" s="30">
        <v>0</v>
      </c>
      <c r="D67" s="30">
        <v>115</v>
      </c>
      <c r="E67" s="30">
        <v>0</v>
      </c>
      <c r="F67" s="350">
        <v>0</v>
      </c>
      <c r="G67" s="31"/>
      <c r="H67" s="31"/>
      <c r="I67" s="31"/>
      <c r="J67" s="193"/>
      <c r="K67" s="55"/>
      <c r="L67" s="78"/>
      <c r="M67" s="78"/>
      <c r="N67" s="79"/>
      <c r="O67" s="78"/>
    </row>
    <row r="68" spans="1:15" ht="15" customHeight="1" x14ac:dyDescent="0.2">
      <c r="A68" s="309" t="s">
        <v>110</v>
      </c>
      <c r="B68" s="306"/>
      <c r="C68" s="30">
        <v>178040</v>
      </c>
      <c r="D68" s="30">
        <v>216465</v>
      </c>
      <c r="E68" s="30">
        <v>145304</v>
      </c>
      <c r="F68" s="350">
        <f t="shared" si="15"/>
        <v>67.125863303536377</v>
      </c>
      <c r="G68" s="31"/>
      <c r="H68" s="31"/>
      <c r="I68" s="31"/>
      <c r="J68" s="193"/>
      <c r="K68" s="55"/>
      <c r="L68" s="78"/>
      <c r="M68" s="78"/>
      <c r="N68" s="79"/>
      <c r="O68" s="78"/>
    </row>
    <row r="69" spans="1:15" ht="15" customHeight="1" x14ac:dyDescent="0.2">
      <c r="A69" s="51" t="s">
        <v>22</v>
      </c>
      <c r="B69" s="306"/>
      <c r="C69" s="353">
        <f>C70+C71</f>
        <v>12822</v>
      </c>
      <c r="D69" s="353">
        <f t="shared" ref="D69:E69" si="17">D70+D71</f>
        <v>102146</v>
      </c>
      <c r="E69" s="353">
        <f t="shared" si="17"/>
        <v>2064</v>
      </c>
      <c r="F69" s="350">
        <f t="shared" si="15"/>
        <v>2.0206371272492314</v>
      </c>
      <c r="G69" s="31"/>
      <c r="H69" s="31"/>
      <c r="I69" s="31"/>
      <c r="J69" s="193"/>
      <c r="K69" s="55"/>
      <c r="L69" s="78"/>
      <c r="M69" s="78"/>
      <c r="N69" s="79"/>
      <c r="O69" s="78"/>
    </row>
    <row r="70" spans="1:15" ht="15" customHeight="1" x14ac:dyDescent="0.2">
      <c r="A70" s="28" t="s">
        <v>109</v>
      </c>
      <c r="B70" s="306"/>
      <c r="C70" s="30">
        <v>12822</v>
      </c>
      <c r="D70" s="30">
        <v>98810</v>
      </c>
      <c r="E70" s="30">
        <v>2064</v>
      </c>
      <c r="F70" s="350">
        <f t="shared" si="15"/>
        <v>2.0888574030968527</v>
      </c>
      <c r="G70" s="31"/>
      <c r="H70" s="31"/>
      <c r="I70" s="31"/>
      <c r="J70" s="193"/>
      <c r="K70" s="55"/>
      <c r="L70" s="78"/>
      <c r="M70" s="78"/>
      <c r="N70" s="79"/>
      <c r="O70" s="78"/>
    </row>
    <row r="71" spans="1:15" ht="15" customHeight="1" thickBot="1" x14ac:dyDescent="0.25">
      <c r="A71" s="334" t="s">
        <v>107</v>
      </c>
      <c r="B71" s="335"/>
      <c r="C71" s="442">
        <v>0</v>
      </c>
      <c r="D71" s="442">
        <v>3336</v>
      </c>
      <c r="E71" s="442">
        <v>0</v>
      </c>
      <c r="F71" s="443">
        <f t="shared" si="15"/>
        <v>0</v>
      </c>
      <c r="G71" s="31"/>
      <c r="H71" s="31"/>
      <c r="I71" s="31"/>
      <c r="J71" s="193"/>
      <c r="K71" s="55"/>
      <c r="L71" s="78"/>
      <c r="M71" s="78"/>
      <c r="N71" s="79"/>
      <c r="O71" s="78"/>
    </row>
    <row r="72" spans="1:15" s="35" customFormat="1" ht="15.75" thickTop="1" x14ac:dyDescent="0.25">
      <c r="A72" s="305" t="s">
        <v>25</v>
      </c>
      <c r="B72" s="306">
        <v>14</v>
      </c>
      <c r="C72" s="352">
        <f>C73+C77</f>
        <v>65285</v>
      </c>
      <c r="D72" s="352">
        <f>D73+D77</f>
        <v>276866</v>
      </c>
      <c r="E72" s="352">
        <f>E73+E77</f>
        <v>67563</v>
      </c>
      <c r="F72" s="349">
        <f t="shared" ref="F72:F107" si="18">(E72/D72)*100</f>
        <v>24.402779684034876</v>
      </c>
      <c r="G72" s="251"/>
      <c r="H72" s="67"/>
      <c r="I72" s="67"/>
      <c r="J72" s="193"/>
      <c r="K72" s="67"/>
      <c r="L72" s="53"/>
      <c r="M72" s="77"/>
      <c r="N72" s="44"/>
      <c r="O72" s="77"/>
    </row>
    <row r="73" spans="1:15" s="32" customFormat="1" x14ac:dyDescent="0.2">
      <c r="A73" s="307" t="s">
        <v>21</v>
      </c>
      <c r="B73" s="308"/>
      <c r="C73" s="353">
        <f>C74+C75+C76</f>
        <v>65285</v>
      </c>
      <c r="D73" s="353">
        <f t="shared" ref="D73:E73" si="19">D74+D75+D76</f>
        <v>76566</v>
      </c>
      <c r="E73" s="353">
        <f t="shared" si="19"/>
        <v>27811</v>
      </c>
      <c r="F73" s="350">
        <f t="shared" si="18"/>
        <v>36.322910952642161</v>
      </c>
      <c r="G73" s="257"/>
      <c r="H73" s="257"/>
      <c r="I73" s="257"/>
      <c r="J73" s="193"/>
      <c r="K73" s="254"/>
      <c r="L73" s="53"/>
      <c r="M73" s="53"/>
      <c r="N73" s="54"/>
      <c r="O73" s="53"/>
    </row>
    <row r="74" spans="1:15" s="32" customFormat="1" x14ac:dyDescent="0.2">
      <c r="A74" s="28" t="s">
        <v>109</v>
      </c>
      <c r="B74" s="308"/>
      <c r="C74" s="30">
        <v>51610</v>
      </c>
      <c r="D74" s="30">
        <v>62521</v>
      </c>
      <c r="E74" s="30">
        <v>27641</v>
      </c>
      <c r="F74" s="350">
        <f>(E74/D74)*100</f>
        <v>44.21074518961629</v>
      </c>
      <c r="G74" s="31"/>
      <c r="H74" s="31"/>
      <c r="I74" s="31"/>
      <c r="J74" s="193"/>
      <c r="K74" s="55"/>
      <c r="L74" s="77"/>
      <c r="M74" s="53"/>
      <c r="N74" s="54"/>
      <c r="O74" s="53"/>
    </row>
    <row r="75" spans="1:15" s="32" customFormat="1" x14ac:dyDescent="0.2">
      <c r="A75" s="28" t="s">
        <v>107</v>
      </c>
      <c r="B75" s="308"/>
      <c r="C75" s="30">
        <v>0</v>
      </c>
      <c r="D75" s="30">
        <v>0</v>
      </c>
      <c r="E75" s="30">
        <v>0</v>
      </c>
      <c r="F75" s="350">
        <v>0</v>
      </c>
      <c r="G75" s="31"/>
      <c r="H75" s="31"/>
      <c r="I75" s="31"/>
      <c r="J75" s="193"/>
      <c r="K75" s="55"/>
      <c r="L75" s="53"/>
      <c r="M75" s="53"/>
      <c r="N75" s="54"/>
      <c r="O75" s="53"/>
    </row>
    <row r="76" spans="1:15" s="32" customFormat="1" x14ac:dyDescent="0.2">
      <c r="A76" s="309" t="s">
        <v>110</v>
      </c>
      <c r="B76" s="308"/>
      <c r="C76" s="30">
        <v>13675</v>
      </c>
      <c r="D76" s="30">
        <v>14045</v>
      </c>
      <c r="E76" s="30">
        <v>170</v>
      </c>
      <c r="F76" s="350">
        <f t="shared" si="18"/>
        <v>1.2103951584193664</v>
      </c>
      <c r="G76" s="31"/>
      <c r="H76" s="31"/>
      <c r="I76" s="31"/>
      <c r="J76" s="193"/>
      <c r="K76" s="55"/>
      <c r="L76" s="53"/>
      <c r="M76" s="53"/>
      <c r="N76" s="54"/>
      <c r="O76" s="53"/>
    </row>
    <row r="77" spans="1:15" s="32" customFormat="1" x14ac:dyDescent="0.2">
      <c r="A77" s="51" t="s">
        <v>22</v>
      </c>
      <c r="B77" s="308"/>
      <c r="C77" s="353">
        <f>C78+C79</f>
        <v>0</v>
      </c>
      <c r="D77" s="353">
        <f t="shared" ref="D77:E77" si="20">D78+D79</f>
        <v>200300</v>
      </c>
      <c r="E77" s="353">
        <f t="shared" si="20"/>
        <v>39752</v>
      </c>
      <c r="F77" s="354">
        <f>(E77/D77)*100</f>
        <v>19.846230654018971</v>
      </c>
      <c r="G77" s="257"/>
      <c r="H77" s="257"/>
      <c r="I77" s="257"/>
      <c r="J77" s="193"/>
      <c r="K77" s="254"/>
      <c r="L77" s="53"/>
      <c r="M77" s="53"/>
      <c r="N77" s="54"/>
      <c r="O77" s="53"/>
    </row>
    <row r="78" spans="1:15" s="32" customFormat="1" x14ac:dyDescent="0.2">
      <c r="A78" s="28" t="s">
        <v>109</v>
      </c>
      <c r="B78" s="308"/>
      <c r="C78" s="30">
        <v>0</v>
      </c>
      <c r="D78" s="30">
        <v>190426</v>
      </c>
      <c r="E78" s="30">
        <v>37755</v>
      </c>
      <c r="F78" s="354">
        <f t="shared" ref="F78:F79" si="21">(E78/D78)*100</f>
        <v>19.826599308917899</v>
      </c>
      <c r="G78" s="31"/>
      <c r="H78" s="31"/>
      <c r="I78" s="31"/>
      <c r="J78" s="193"/>
      <c r="K78" s="55"/>
      <c r="L78" s="53"/>
      <c r="M78" s="53"/>
      <c r="N78" s="54"/>
      <c r="O78" s="53"/>
    </row>
    <row r="79" spans="1:15" s="32" customFormat="1" x14ac:dyDescent="0.2">
      <c r="A79" s="310" t="s">
        <v>107</v>
      </c>
      <c r="B79" s="311"/>
      <c r="C79" s="351">
        <v>0</v>
      </c>
      <c r="D79" s="351">
        <v>9874</v>
      </c>
      <c r="E79" s="351">
        <v>1997</v>
      </c>
      <c r="F79" s="444">
        <f t="shared" si="21"/>
        <v>20.224832894470328</v>
      </c>
      <c r="G79" s="31"/>
      <c r="H79" s="31"/>
      <c r="I79" s="31"/>
      <c r="J79" s="31"/>
      <c r="K79" s="55"/>
      <c r="L79" s="53"/>
      <c r="M79" s="53"/>
      <c r="N79" s="54"/>
      <c r="O79" s="53"/>
    </row>
    <row r="80" spans="1:15" s="35" customFormat="1" ht="15" x14ac:dyDescent="0.25">
      <c r="A80" s="305" t="s">
        <v>26</v>
      </c>
      <c r="B80" s="306">
        <v>16</v>
      </c>
      <c r="C80" s="352">
        <v>0</v>
      </c>
      <c r="D80" s="352">
        <v>0</v>
      </c>
      <c r="E80" s="352">
        <v>0</v>
      </c>
      <c r="F80" s="349">
        <v>0</v>
      </c>
      <c r="G80" s="27"/>
      <c r="H80" s="31"/>
      <c r="I80" s="31"/>
      <c r="J80" s="31"/>
      <c r="K80" s="67"/>
      <c r="L80" s="77"/>
      <c r="M80" s="77"/>
      <c r="N80" s="44"/>
      <c r="O80" s="77"/>
    </row>
    <row r="81" spans="1:15" s="35" customFormat="1" ht="15" x14ac:dyDescent="0.25">
      <c r="A81" s="312" t="s">
        <v>100</v>
      </c>
      <c r="B81" s="313">
        <v>17</v>
      </c>
      <c r="C81" s="348">
        <f>C82+C83</f>
        <v>313040</v>
      </c>
      <c r="D81" s="348">
        <f t="shared" ref="D81:E81" si="22">D82+D83</f>
        <v>365267</v>
      </c>
      <c r="E81" s="348">
        <f t="shared" si="22"/>
        <v>106139</v>
      </c>
      <c r="F81" s="445">
        <f t="shared" si="18"/>
        <v>29.057922013212252</v>
      </c>
      <c r="G81" s="251"/>
      <c r="H81" s="27"/>
      <c r="I81" s="27"/>
      <c r="J81" s="193"/>
      <c r="K81" s="67"/>
      <c r="L81" s="77"/>
      <c r="M81" s="77"/>
      <c r="N81" s="44"/>
      <c r="O81" s="77"/>
    </row>
    <row r="82" spans="1:15" s="35" customFormat="1" x14ac:dyDescent="0.2">
      <c r="A82" s="28" t="s">
        <v>109</v>
      </c>
      <c r="B82" s="37"/>
      <c r="C82" s="30">
        <v>25791</v>
      </c>
      <c r="D82" s="30">
        <v>36938</v>
      </c>
      <c r="E82" s="30">
        <v>13543</v>
      </c>
      <c r="F82" s="350">
        <f t="shared" si="18"/>
        <v>36.664139910119658</v>
      </c>
      <c r="G82" s="31"/>
      <c r="H82" s="31"/>
      <c r="I82" s="31"/>
      <c r="J82" s="193"/>
      <c r="K82" s="55"/>
      <c r="L82" s="77"/>
      <c r="M82" s="258"/>
      <c r="N82" s="44"/>
      <c r="O82" s="77"/>
    </row>
    <row r="83" spans="1:15" s="35" customFormat="1" x14ac:dyDescent="0.2">
      <c r="A83" s="310" t="s">
        <v>107</v>
      </c>
      <c r="B83" s="314"/>
      <c r="C83" s="351">
        <v>287249</v>
      </c>
      <c r="D83" s="351">
        <v>328329</v>
      </c>
      <c r="E83" s="351">
        <v>92596</v>
      </c>
      <c r="F83" s="304">
        <f t="shared" si="18"/>
        <v>28.202199622939183</v>
      </c>
      <c r="G83" s="31"/>
      <c r="H83" s="31"/>
      <c r="I83" s="31"/>
      <c r="J83" s="193"/>
      <c r="K83" s="55"/>
      <c r="L83" s="77"/>
      <c r="M83" s="259"/>
      <c r="N83" s="44"/>
      <c r="O83" s="77"/>
    </row>
    <row r="84" spans="1:15" s="35" customFormat="1" ht="15" x14ac:dyDescent="0.25">
      <c r="A84" s="315" t="s">
        <v>101</v>
      </c>
      <c r="B84" s="316">
        <v>18</v>
      </c>
      <c r="C84" s="352">
        <f>C85+C86+C87</f>
        <v>92256</v>
      </c>
      <c r="D84" s="352">
        <f t="shared" ref="D84:E84" si="23">D85+D86+D87</f>
        <v>123787</v>
      </c>
      <c r="E84" s="352">
        <f t="shared" si="23"/>
        <v>53232</v>
      </c>
      <c r="F84" s="349">
        <f t="shared" si="18"/>
        <v>43.002900142987549</v>
      </c>
      <c r="G84" s="31"/>
      <c r="H84" s="31"/>
      <c r="I84" s="31"/>
      <c r="J84" s="44"/>
      <c r="K84" s="55"/>
      <c r="L84" s="77"/>
      <c r="M84" s="46"/>
      <c r="N84" s="44"/>
      <c r="O84" s="77"/>
    </row>
    <row r="85" spans="1:15" s="35" customFormat="1" x14ac:dyDescent="0.2">
      <c r="A85" s="28" t="s">
        <v>109</v>
      </c>
      <c r="B85" s="37"/>
      <c r="C85" s="30">
        <f>66656+6000</f>
        <v>72656</v>
      </c>
      <c r="D85" s="30">
        <v>78657</v>
      </c>
      <c r="E85" s="30">
        <v>25203</v>
      </c>
      <c r="F85" s="350">
        <f>(E85/D85)*100</f>
        <v>32.041649185705026</v>
      </c>
      <c r="G85" s="31"/>
      <c r="H85" s="31"/>
      <c r="I85" s="31"/>
      <c r="J85" s="193"/>
      <c r="K85" s="55"/>
      <c r="L85" s="77"/>
      <c r="M85" s="258"/>
      <c r="N85" s="44"/>
      <c r="O85" s="77"/>
    </row>
    <row r="86" spans="1:15" s="35" customFormat="1" x14ac:dyDescent="0.2">
      <c r="A86" s="28" t="s">
        <v>107</v>
      </c>
      <c r="B86" s="37"/>
      <c r="C86" s="30">
        <v>0</v>
      </c>
      <c r="D86" s="30">
        <v>14632</v>
      </c>
      <c r="E86" s="30">
        <v>14632</v>
      </c>
      <c r="F86" s="350">
        <f>(E86/D86)*100</f>
        <v>100</v>
      </c>
      <c r="G86" s="31"/>
      <c r="H86" s="31"/>
      <c r="I86" s="31"/>
      <c r="J86" s="54"/>
      <c r="K86" s="55"/>
      <c r="L86" s="77"/>
      <c r="M86" s="259"/>
      <c r="N86" s="44"/>
      <c r="O86" s="77"/>
    </row>
    <row r="87" spans="1:15" s="35" customFormat="1" x14ac:dyDescent="0.2">
      <c r="A87" s="317" t="s">
        <v>110</v>
      </c>
      <c r="B87" s="311"/>
      <c r="C87" s="351">
        <v>19600</v>
      </c>
      <c r="D87" s="351">
        <v>30498</v>
      </c>
      <c r="E87" s="351">
        <v>13397</v>
      </c>
      <c r="F87" s="304">
        <f>(E87/D87)*100</f>
        <v>43.927470653813366</v>
      </c>
      <c r="G87" s="31"/>
      <c r="H87" s="31"/>
      <c r="I87" s="31"/>
      <c r="J87" s="31"/>
      <c r="K87" s="55"/>
      <c r="L87" s="77"/>
      <c r="M87" s="46"/>
      <c r="N87" s="44"/>
      <c r="O87" s="77"/>
    </row>
    <row r="88" spans="1:15" s="35" customFormat="1" ht="15" x14ac:dyDescent="0.25">
      <c r="A88" s="318" t="s">
        <v>85</v>
      </c>
      <c r="B88" s="316">
        <v>19</v>
      </c>
      <c r="C88" s="352">
        <f>C89+C92</f>
        <v>3582306</v>
      </c>
      <c r="D88" s="352">
        <f>D89+D92</f>
        <v>2125187</v>
      </c>
      <c r="E88" s="352">
        <f>E89+E92</f>
        <v>2125187</v>
      </c>
      <c r="F88" s="349">
        <f t="shared" si="18"/>
        <v>100</v>
      </c>
      <c r="G88" s="31"/>
      <c r="H88" s="31"/>
      <c r="I88" s="31"/>
      <c r="J88" s="44"/>
      <c r="K88" s="55"/>
      <c r="L88" s="77"/>
      <c r="M88" s="46"/>
      <c r="N88" s="44"/>
      <c r="O88" s="77"/>
    </row>
    <row r="89" spans="1:15" s="35" customFormat="1" x14ac:dyDescent="0.2">
      <c r="A89" s="307" t="s">
        <v>21</v>
      </c>
      <c r="B89" s="308"/>
      <c r="C89" s="353">
        <f>C90+C91</f>
        <v>70485</v>
      </c>
      <c r="D89" s="353">
        <f>D90+D91</f>
        <v>34300</v>
      </c>
      <c r="E89" s="353">
        <f>E90+E91</f>
        <v>34300</v>
      </c>
      <c r="F89" s="354">
        <f>(E89/D89)*100</f>
        <v>100</v>
      </c>
      <c r="G89" s="31"/>
      <c r="H89" s="31"/>
      <c r="I89" s="31"/>
      <c r="J89" s="44"/>
      <c r="K89" s="55"/>
      <c r="L89" s="77"/>
      <c r="M89" s="46"/>
      <c r="N89" s="44"/>
      <c r="O89" s="77"/>
    </row>
    <row r="90" spans="1:15" s="35" customFormat="1" x14ac:dyDescent="0.2">
      <c r="A90" s="28" t="s">
        <v>109</v>
      </c>
      <c r="B90" s="308"/>
      <c r="C90" s="30">
        <v>70485</v>
      </c>
      <c r="D90" s="30">
        <v>34300</v>
      </c>
      <c r="E90" s="30">
        <v>34300</v>
      </c>
      <c r="F90" s="350">
        <f>(E90/D90)*100</f>
        <v>100</v>
      </c>
      <c r="G90" s="31"/>
      <c r="H90" s="31"/>
      <c r="I90" s="31"/>
      <c r="J90" s="44"/>
      <c r="K90" s="55"/>
      <c r="L90" s="77"/>
      <c r="M90" s="46"/>
      <c r="N90" s="44"/>
      <c r="O90" s="77"/>
    </row>
    <row r="91" spans="1:15" s="35" customFormat="1" x14ac:dyDescent="0.2">
      <c r="A91" s="28" t="s">
        <v>107</v>
      </c>
      <c r="B91" s="308"/>
      <c r="C91" s="30">
        <v>0</v>
      </c>
      <c r="D91" s="30">
        <v>0</v>
      </c>
      <c r="E91" s="30">
        <v>0</v>
      </c>
      <c r="F91" s="350">
        <v>0</v>
      </c>
      <c r="G91" s="31"/>
      <c r="H91" s="31"/>
      <c r="I91" s="31"/>
      <c r="J91" s="44"/>
      <c r="K91" s="55"/>
      <c r="L91" s="77"/>
      <c r="M91" s="46"/>
      <c r="N91" s="44"/>
      <c r="O91" s="77"/>
    </row>
    <row r="92" spans="1:15" s="35" customFormat="1" x14ac:dyDescent="0.2">
      <c r="A92" s="51" t="s">
        <v>22</v>
      </c>
      <c r="B92" s="308"/>
      <c r="C92" s="353">
        <f>C93+C94</f>
        <v>3511821</v>
      </c>
      <c r="D92" s="353">
        <f>D93+D94</f>
        <v>2090887</v>
      </c>
      <c r="E92" s="353">
        <f>E93+E94</f>
        <v>2090887</v>
      </c>
      <c r="F92" s="354">
        <f t="shared" si="18"/>
        <v>100</v>
      </c>
      <c r="G92" s="31"/>
      <c r="H92" s="31"/>
      <c r="I92" s="31"/>
      <c r="J92" s="44"/>
      <c r="K92" s="55"/>
      <c r="L92" s="77"/>
      <c r="M92" s="46"/>
      <c r="N92" s="44"/>
      <c r="O92" s="77"/>
    </row>
    <row r="93" spans="1:15" s="35" customFormat="1" x14ac:dyDescent="0.2">
      <c r="A93" s="28" t="s">
        <v>109</v>
      </c>
      <c r="B93" s="308"/>
      <c r="C93" s="30">
        <v>3455458</v>
      </c>
      <c r="D93" s="30">
        <v>2058888</v>
      </c>
      <c r="E93" s="30">
        <v>2058888</v>
      </c>
      <c r="F93" s="350">
        <f t="shared" si="18"/>
        <v>100</v>
      </c>
      <c r="G93" s="31"/>
      <c r="H93" s="31"/>
      <c r="I93" s="31"/>
      <c r="J93" s="44"/>
      <c r="K93" s="55"/>
      <c r="L93" s="77"/>
      <c r="M93" s="46"/>
      <c r="N93" s="44"/>
      <c r="O93" s="77"/>
    </row>
    <row r="94" spans="1:15" s="35" customFormat="1" x14ac:dyDescent="0.2">
      <c r="A94" s="28" t="s">
        <v>107</v>
      </c>
      <c r="B94" s="311"/>
      <c r="C94" s="351">
        <v>56363</v>
      </c>
      <c r="D94" s="351">
        <v>31999</v>
      </c>
      <c r="E94" s="351">
        <v>31999</v>
      </c>
      <c r="F94" s="304">
        <f t="shared" si="18"/>
        <v>100</v>
      </c>
      <c r="G94" s="31"/>
      <c r="H94" s="31"/>
      <c r="I94" s="31"/>
      <c r="J94" s="44"/>
      <c r="K94" s="55"/>
      <c r="L94" s="77"/>
      <c r="M94" s="46"/>
      <c r="N94" s="44"/>
      <c r="O94" s="77"/>
    </row>
    <row r="95" spans="1:15" s="35" customFormat="1" ht="15" x14ac:dyDescent="0.25">
      <c r="A95" s="319" t="s">
        <v>91</v>
      </c>
      <c r="B95" s="320">
        <v>20</v>
      </c>
      <c r="C95" s="355">
        <v>513</v>
      </c>
      <c r="D95" s="355">
        <v>513</v>
      </c>
      <c r="E95" s="355">
        <v>104</v>
      </c>
      <c r="F95" s="344">
        <f t="shared" si="18"/>
        <v>20.2729044834308</v>
      </c>
      <c r="G95" s="31"/>
      <c r="H95" s="31"/>
      <c r="I95" s="31"/>
      <c r="J95" s="44"/>
      <c r="K95" s="55"/>
      <c r="L95" s="77"/>
      <c r="M95" s="46"/>
      <c r="N95" s="44"/>
      <c r="O95" s="77"/>
    </row>
    <row r="96" spans="1:15" s="35" customFormat="1" ht="15" x14ac:dyDescent="0.25">
      <c r="A96" s="305" t="s">
        <v>27</v>
      </c>
      <c r="B96" s="306" t="s">
        <v>126</v>
      </c>
      <c r="C96" s="352">
        <f>SUM(C97:C99)</f>
        <v>682207</v>
      </c>
      <c r="D96" s="352">
        <f t="shared" ref="D96:E96" si="24">SUM(D97:D99)</f>
        <v>952716</v>
      </c>
      <c r="E96" s="352">
        <f t="shared" si="24"/>
        <v>516325</v>
      </c>
      <c r="F96" s="349">
        <f t="shared" si="18"/>
        <v>54.195059178181118</v>
      </c>
      <c r="G96" s="27"/>
      <c r="H96" s="27"/>
      <c r="I96" s="27"/>
      <c r="J96" s="193"/>
      <c r="K96" s="67"/>
      <c r="L96" s="77"/>
      <c r="M96" s="77"/>
      <c r="N96" s="44"/>
      <c r="O96" s="77"/>
    </row>
    <row r="97" spans="1:15" s="35" customFormat="1" x14ac:dyDescent="0.2">
      <c r="A97" s="28" t="s">
        <v>109</v>
      </c>
      <c r="B97" s="306"/>
      <c r="C97" s="30">
        <f>24538-C99</f>
        <v>24538</v>
      </c>
      <c r="D97" s="30">
        <f>142011-D99</f>
        <v>142011</v>
      </c>
      <c r="E97" s="30">
        <f>368470-E99</f>
        <v>50693</v>
      </c>
      <c r="F97" s="350">
        <f t="shared" si="18"/>
        <v>35.696530550450319</v>
      </c>
      <c r="G97" s="31"/>
      <c r="H97" s="31"/>
      <c r="I97" s="31"/>
      <c r="J97" s="193"/>
      <c r="K97" s="55"/>
      <c r="L97" s="77"/>
      <c r="M97" s="77"/>
      <c r="N97" s="44"/>
      <c r="O97" s="77"/>
    </row>
    <row r="98" spans="1:15" s="35" customFormat="1" x14ac:dyDescent="0.2">
      <c r="A98" s="28" t="s">
        <v>107</v>
      </c>
      <c r="B98" s="306"/>
      <c r="C98" s="30">
        <v>657669</v>
      </c>
      <c r="D98" s="30">
        <v>810705</v>
      </c>
      <c r="E98" s="30">
        <v>147855</v>
      </c>
      <c r="F98" s="350">
        <f t="shared" si="18"/>
        <v>18.237830036819805</v>
      </c>
      <c r="G98" s="31"/>
      <c r="H98" s="31"/>
      <c r="I98" s="31"/>
      <c r="J98" s="193"/>
      <c r="K98" s="55"/>
      <c r="L98" s="77"/>
      <c r="M98" s="77"/>
      <c r="N98" s="44"/>
      <c r="O98" s="77"/>
    </row>
    <row r="99" spans="1:15" s="35" customFormat="1" x14ac:dyDescent="0.2">
      <c r="A99" s="309" t="s">
        <v>108</v>
      </c>
      <c r="B99" s="306"/>
      <c r="C99" s="30">
        <v>0</v>
      </c>
      <c r="D99" s="30">
        <v>0</v>
      </c>
      <c r="E99" s="30">
        <v>317777</v>
      </c>
      <c r="F99" s="304">
        <v>0</v>
      </c>
      <c r="G99" s="31"/>
      <c r="H99" s="31"/>
      <c r="I99" s="31"/>
      <c r="J99" s="193"/>
      <c r="K99" s="55"/>
      <c r="L99" s="77"/>
      <c r="M99" s="77"/>
      <c r="N99" s="44"/>
      <c r="O99" s="77"/>
    </row>
    <row r="100" spans="1:15" s="35" customFormat="1" ht="15" x14ac:dyDescent="0.25">
      <c r="A100" s="321" t="s">
        <v>44</v>
      </c>
      <c r="B100" s="322">
        <v>99</v>
      </c>
      <c r="C100" s="348">
        <f>+C103+C101+C102</f>
        <v>34300</v>
      </c>
      <c r="D100" s="348">
        <f t="shared" ref="D100:E100" si="25">+D103+D101+D102</f>
        <v>34300</v>
      </c>
      <c r="E100" s="348">
        <f t="shared" si="25"/>
        <v>0</v>
      </c>
      <c r="F100" s="349">
        <f t="shared" si="18"/>
        <v>0</v>
      </c>
      <c r="G100" s="31"/>
      <c r="H100" s="31"/>
      <c r="I100" s="31"/>
      <c r="J100" s="193"/>
      <c r="K100" s="67"/>
      <c r="L100" s="77"/>
      <c r="M100" s="77"/>
      <c r="N100" s="44"/>
      <c r="O100" s="77"/>
    </row>
    <row r="101" spans="1:15" s="35" customFormat="1" x14ac:dyDescent="0.2">
      <c r="A101" s="28" t="s">
        <v>109</v>
      </c>
      <c r="B101" s="306"/>
      <c r="C101" s="30">
        <v>0</v>
      </c>
      <c r="D101" s="30">
        <v>0</v>
      </c>
      <c r="E101" s="30">
        <v>0</v>
      </c>
      <c r="F101" s="350">
        <v>0</v>
      </c>
      <c r="G101" s="31"/>
      <c r="H101" s="31"/>
      <c r="I101" s="31"/>
      <c r="J101" s="193"/>
      <c r="K101" s="55"/>
      <c r="L101" s="77"/>
      <c r="M101" s="77"/>
      <c r="N101" s="44"/>
      <c r="O101" s="77"/>
    </row>
    <row r="102" spans="1:15" s="35" customFormat="1" x14ac:dyDescent="0.2">
      <c r="A102" s="28" t="s">
        <v>107</v>
      </c>
      <c r="B102" s="306"/>
      <c r="C102" s="30">
        <v>0</v>
      </c>
      <c r="D102" s="30">
        <v>0</v>
      </c>
      <c r="E102" s="30">
        <v>0</v>
      </c>
      <c r="F102" s="350">
        <v>0</v>
      </c>
      <c r="G102" s="31"/>
      <c r="H102" s="31"/>
      <c r="I102" s="31"/>
      <c r="J102" s="193"/>
      <c r="K102" s="55"/>
      <c r="L102" s="77"/>
      <c r="M102" s="260"/>
      <c r="N102" s="44"/>
      <c r="O102" s="77"/>
    </row>
    <row r="103" spans="1:15" s="35" customFormat="1" x14ac:dyDescent="0.2">
      <c r="A103" s="317" t="s">
        <v>110</v>
      </c>
      <c r="B103" s="320"/>
      <c r="C103" s="351">
        <v>34300</v>
      </c>
      <c r="D103" s="351">
        <v>34300</v>
      </c>
      <c r="E103" s="351">
        <v>0</v>
      </c>
      <c r="F103" s="304">
        <f t="shared" si="18"/>
        <v>0</v>
      </c>
      <c r="G103" s="31"/>
      <c r="H103" s="31"/>
      <c r="I103" s="31"/>
      <c r="J103" s="193"/>
      <c r="K103" s="55"/>
      <c r="L103" s="77"/>
      <c r="M103" s="260"/>
      <c r="N103" s="44"/>
      <c r="O103" s="77"/>
    </row>
    <row r="104" spans="1:15" s="35" customFormat="1" ht="15" x14ac:dyDescent="0.25">
      <c r="A104" s="323" t="s">
        <v>28</v>
      </c>
      <c r="B104" s="306">
        <v>199</v>
      </c>
      <c r="C104" s="352">
        <f>C105</f>
        <v>11062</v>
      </c>
      <c r="D104" s="352">
        <f>D105</f>
        <v>11282</v>
      </c>
      <c r="E104" s="352">
        <f>E105</f>
        <v>5123</v>
      </c>
      <c r="F104" s="349">
        <f t="shared" si="18"/>
        <v>45.40861549370679</v>
      </c>
      <c r="G104" s="31"/>
      <c r="H104" s="31"/>
      <c r="I104" s="31"/>
      <c r="J104" s="193"/>
      <c r="K104" s="67"/>
      <c r="L104" s="43"/>
      <c r="M104" s="77"/>
      <c r="N104" s="44"/>
      <c r="O104" s="77"/>
    </row>
    <row r="105" spans="1:15" s="35" customFormat="1" x14ac:dyDescent="0.2">
      <c r="A105" s="28" t="s">
        <v>109</v>
      </c>
      <c r="B105" s="306"/>
      <c r="C105" s="30">
        <v>11062</v>
      </c>
      <c r="D105" s="30">
        <v>11282</v>
      </c>
      <c r="E105" s="30">
        <v>5123</v>
      </c>
      <c r="F105" s="350">
        <f t="shared" si="18"/>
        <v>45.40861549370679</v>
      </c>
      <c r="G105" s="31"/>
      <c r="H105" s="31"/>
      <c r="I105" s="31"/>
      <c r="J105" s="193"/>
      <c r="K105" s="55"/>
      <c r="L105" s="43"/>
      <c r="M105" s="44"/>
      <c r="N105" s="44"/>
      <c r="O105" s="77"/>
    </row>
    <row r="106" spans="1:15" s="35" customFormat="1" x14ac:dyDescent="0.2">
      <c r="A106" s="28" t="s">
        <v>107</v>
      </c>
      <c r="B106" s="320"/>
      <c r="C106" s="351">
        <v>0</v>
      </c>
      <c r="D106" s="351">
        <v>0</v>
      </c>
      <c r="E106" s="351">
        <v>0</v>
      </c>
      <c r="F106" s="350">
        <v>0</v>
      </c>
      <c r="G106" s="31"/>
      <c r="H106" s="31"/>
      <c r="I106" s="31"/>
      <c r="J106" s="193"/>
      <c r="K106" s="55"/>
      <c r="L106" s="43"/>
      <c r="M106" s="44"/>
      <c r="N106" s="44"/>
      <c r="O106" s="77"/>
    </row>
    <row r="107" spans="1:15" ht="21.75" customHeight="1" x14ac:dyDescent="0.25">
      <c r="A107" s="515" t="s">
        <v>29</v>
      </c>
      <c r="B107" s="516"/>
      <c r="C107" s="85">
        <f>C6+C10+C14+C20+C25+C29+C33+C44+C52+C72+C88+C80+C81+C96+C100+C104+C84+C95+C64+C17</f>
        <v>5967109</v>
      </c>
      <c r="D107" s="85">
        <f>D6+D10+D14+D20+D25+D29+D33+D44+D52+D72+D88+D80+D81+D96+D100+D104+D84+D95+D64+D17</f>
        <v>19852102</v>
      </c>
      <c r="E107" s="85">
        <f>E6+E10+E14+E20+E25+E29+E33+E44+E52+E72+E88+E80+E81+E96+E100+E104+E84+E95+E64+E17</f>
        <v>21274070</v>
      </c>
      <c r="F107" s="344">
        <f t="shared" si="18"/>
        <v>107.16280825073335</v>
      </c>
      <c r="G107" s="125"/>
      <c r="H107" s="88"/>
      <c r="I107" s="88"/>
      <c r="J107" s="88"/>
      <c r="K107" s="111"/>
      <c r="L107" s="43"/>
      <c r="M107" s="78"/>
      <c r="N107" s="79"/>
      <c r="O107" s="78"/>
    </row>
    <row r="108" spans="1:15" ht="21" customHeight="1" x14ac:dyDescent="0.2">
      <c r="A108" s="302" t="s">
        <v>112</v>
      </c>
      <c r="B108" s="303"/>
      <c r="C108" s="30">
        <f>C99+C24+C13+C9</f>
        <v>11058</v>
      </c>
      <c r="D108" s="30">
        <f>D99+D24+D13+D9</f>
        <v>11278</v>
      </c>
      <c r="E108" s="30">
        <f>E99+E24+E13+E9</f>
        <v>10622415</v>
      </c>
      <c r="F108" s="304">
        <f>(E108/D108)*100</f>
        <v>94187.045575456636</v>
      </c>
      <c r="G108" s="31"/>
      <c r="H108" s="87"/>
      <c r="I108" s="87"/>
      <c r="J108" s="87"/>
      <c r="K108" s="68"/>
      <c r="L108" s="43"/>
      <c r="M108" s="78"/>
      <c r="N108" s="79"/>
      <c r="O108" s="78"/>
    </row>
    <row r="109" spans="1:15" ht="32.25" thickBot="1" x14ac:dyDescent="0.3">
      <c r="A109" s="126" t="s">
        <v>30</v>
      </c>
      <c r="B109" s="127"/>
      <c r="C109" s="84">
        <f>C107-C108</f>
        <v>5956051</v>
      </c>
      <c r="D109" s="84">
        <f>D107-D108</f>
        <v>19840824</v>
      </c>
      <c r="E109" s="84">
        <f>E107-E108</f>
        <v>10651655</v>
      </c>
      <c r="F109" s="345">
        <f>(E109/D109)*100</f>
        <v>53.685547535727352</v>
      </c>
      <c r="G109" s="125"/>
      <c r="H109" s="27"/>
      <c r="I109" s="27"/>
      <c r="J109" s="75"/>
      <c r="K109" s="72"/>
      <c r="L109" s="41"/>
      <c r="M109" s="78"/>
      <c r="N109" s="79"/>
      <c r="O109" s="78"/>
    </row>
    <row r="110" spans="1:15" ht="18.75" customHeight="1" thickTop="1" x14ac:dyDescent="0.25">
      <c r="A110" s="511" t="s">
        <v>125</v>
      </c>
      <c r="B110" s="511"/>
      <c r="C110" s="511"/>
      <c r="D110" s="511"/>
      <c r="E110" s="511"/>
      <c r="G110" s="27"/>
      <c r="H110" s="27"/>
      <c r="I110" s="27"/>
      <c r="J110" s="75"/>
      <c r="K110" s="72"/>
      <c r="L110" s="41"/>
      <c r="M110" s="78"/>
      <c r="N110" s="79"/>
      <c r="O110" s="78"/>
    </row>
    <row r="111" spans="1:15" x14ac:dyDescent="0.2">
      <c r="A111" s="511"/>
      <c r="B111" s="511"/>
      <c r="C111" s="511"/>
      <c r="D111" s="511"/>
      <c r="E111" s="511"/>
      <c r="F111" s="57"/>
      <c r="G111" s="57"/>
      <c r="H111" s="57"/>
      <c r="I111" s="57"/>
      <c r="J111" s="52"/>
      <c r="L111" s="56"/>
    </row>
    <row r="112" spans="1:15" x14ac:dyDescent="0.2">
      <c r="J112" s="52"/>
    </row>
    <row r="113" spans="1:14" x14ac:dyDescent="0.2">
      <c r="J113" s="52"/>
    </row>
    <row r="114" spans="1:14" x14ac:dyDescent="0.2">
      <c r="J114" s="52"/>
    </row>
    <row r="115" spans="1:14" ht="15" thickBot="1" x14ac:dyDescent="0.25">
      <c r="A115" s="222" t="s">
        <v>94</v>
      </c>
      <c r="F115" s="296" t="s">
        <v>0</v>
      </c>
      <c r="J115" s="52"/>
    </row>
    <row r="116" spans="1:14" ht="25.5" customHeight="1" thickTop="1" thickBot="1" x14ac:dyDescent="0.25">
      <c r="A116" s="524" t="s">
        <v>92</v>
      </c>
      <c r="B116" s="525"/>
      <c r="C116" s="273" t="s">
        <v>11</v>
      </c>
      <c r="D116" s="273" t="s">
        <v>12</v>
      </c>
      <c r="E116" s="273" t="s">
        <v>4</v>
      </c>
      <c r="F116" s="274" t="s">
        <v>5</v>
      </c>
      <c r="J116" s="52"/>
    </row>
    <row r="117" spans="1:14" ht="15.75" thickTop="1" thickBot="1" x14ac:dyDescent="0.25">
      <c r="A117" s="524">
        <v>1</v>
      </c>
      <c r="B117" s="525"/>
      <c r="C117" s="273">
        <v>2</v>
      </c>
      <c r="D117" s="273">
        <v>3</v>
      </c>
      <c r="E117" s="273">
        <v>4</v>
      </c>
      <c r="F117" s="272" t="s">
        <v>96</v>
      </c>
      <c r="J117" s="52"/>
      <c r="K117" s="17"/>
      <c r="N117" s="17"/>
    </row>
    <row r="118" spans="1:14" ht="15" thickTop="1" x14ac:dyDescent="0.2">
      <c r="A118" s="526" t="s">
        <v>113</v>
      </c>
      <c r="B118" s="527"/>
      <c r="C118" s="300">
        <f>C105+C101+C97+C93+C90+C85+C82+C78+C74+C66+C70+C58+C54+C50+C46+C42+C39+C35+C30+C26+C21+C18+C15+C11+C7+C95+C80+372757</f>
        <v>4808116</v>
      </c>
      <c r="D118" s="300">
        <f>D105+D101+D97+D93+D90+D85+D82+D78+D74+D66+D70+D58+D54+D50+D46+D42+D39+D35+D30+D26+D21+D18+D15+D11+D7+D95+D80+311202</f>
        <v>17755719</v>
      </c>
      <c r="E118" s="300">
        <f>E105+E101+E97+E93+E90+E85+E82+E78+E74+E66+E70+E58+E54+E50+E46+E42+E39+E35+E30+E26+E21+E18+E15+E11+E7+E95+E80+178794</f>
        <v>9859132</v>
      </c>
      <c r="F118" s="301">
        <f>E118/D118*100</f>
        <v>55.526515147035163</v>
      </c>
      <c r="J118" s="52"/>
      <c r="K118" s="17"/>
      <c r="N118" s="17"/>
    </row>
    <row r="119" spans="1:14" ht="12" customHeight="1" x14ac:dyDescent="0.2">
      <c r="A119" s="528" t="s">
        <v>114</v>
      </c>
      <c r="B119" s="529"/>
      <c r="C119" s="241">
        <f>C106+C102+C94+C91+C86+C83+C79+C75+C67+C71+C59+C55+C51+C47+C43+C40+C36+C31+C27+C22+C19+C16+C12+C8+C98+101050</f>
        <v>1147935</v>
      </c>
      <c r="D119" s="241">
        <f>D106+D102+D94+D91+D86+D83+D79+D75+D67+D71+D59+D55+D51+D47+D43+D40+D36+D31+D27+D22+D19+D16+D12+D8+D98+189537</f>
        <v>2085105</v>
      </c>
      <c r="E119" s="241">
        <f>E106+E102+E94+E91+E86+E83+E79+E75+E67+E71+E59+E55+E51+E47+E43+E40+E36+E31+E27+E22+E19+E16+E12+E8+E98+69766</f>
        <v>792523</v>
      </c>
      <c r="F119" s="242">
        <f>E119/D119*100</f>
        <v>38.008781332354964</v>
      </c>
      <c r="J119" s="52"/>
      <c r="K119" s="17"/>
      <c r="N119" s="17"/>
    </row>
    <row r="120" spans="1:14" hidden="1" x14ac:dyDescent="0.2">
      <c r="A120" s="530" t="s">
        <v>110</v>
      </c>
      <c r="B120" s="531"/>
      <c r="C120" s="356"/>
      <c r="D120" s="356"/>
      <c r="E120" s="356"/>
      <c r="F120" s="357" t="e">
        <f>E120/D120*100</f>
        <v>#DIV/0!</v>
      </c>
      <c r="J120" s="52"/>
      <c r="K120" s="17"/>
      <c r="N120" s="17"/>
    </row>
    <row r="121" spans="1:14" ht="15" thickBot="1" x14ac:dyDescent="0.25">
      <c r="A121" s="520" t="s">
        <v>112</v>
      </c>
      <c r="B121" s="521"/>
      <c r="C121" s="346">
        <f>C108</f>
        <v>11058</v>
      </c>
      <c r="D121" s="346">
        <f>D108</f>
        <v>11278</v>
      </c>
      <c r="E121" s="346">
        <f>E108</f>
        <v>10622415</v>
      </c>
      <c r="F121" s="347">
        <f>(E121/D121)*100</f>
        <v>94187.045575456636</v>
      </c>
      <c r="J121" s="52"/>
      <c r="K121" s="17"/>
      <c r="N121" s="17"/>
    </row>
    <row r="122" spans="1:14" ht="15" customHeight="1" thickTop="1" x14ac:dyDescent="0.2">
      <c r="A122" s="522" t="s">
        <v>123</v>
      </c>
      <c r="B122" s="523"/>
      <c r="C122" s="340">
        <f>C118+C119+C120+C121</f>
        <v>5967109</v>
      </c>
      <c r="D122" s="340">
        <f t="shared" ref="D122:E122" si="26">D118+D119+D120+D121</f>
        <v>19852102</v>
      </c>
      <c r="E122" s="340">
        <f t="shared" si="26"/>
        <v>21274070</v>
      </c>
      <c r="F122" s="341">
        <f>(E122/D122)*100</f>
        <v>107.16280825073335</v>
      </c>
      <c r="J122" s="52"/>
      <c r="K122" s="17"/>
      <c r="N122" s="17"/>
    </row>
    <row r="123" spans="1:14" x14ac:dyDescent="0.2">
      <c r="A123" s="513" t="s">
        <v>112</v>
      </c>
      <c r="B123" s="514"/>
      <c r="C123" s="342">
        <f>C121</f>
        <v>11058</v>
      </c>
      <c r="D123" s="342">
        <f t="shared" ref="D123" si="27">D121</f>
        <v>11278</v>
      </c>
      <c r="E123" s="342">
        <f>E121</f>
        <v>10622415</v>
      </c>
      <c r="F123" s="343">
        <f>(E123/D123)*100</f>
        <v>94187.045575456636</v>
      </c>
      <c r="H123" s="56"/>
      <c r="I123" s="56"/>
      <c r="J123" s="56"/>
      <c r="K123" s="17"/>
      <c r="N123" s="17"/>
    </row>
    <row r="124" spans="1:14" ht="15.75" thickBot="1" x14ac:dyDescent="0.3">
      <c r="A124" s="337" t="s">
        <v>124</v>
      </c>
      <c r="B124" s="338"/>
      <c r="C124" s="339">
        <f>C122-C123</f>
        <v>5956051</v>
      </c>
      <c r="D124" s="339">
        <f>D122-D123</f>
        <v>19840824</v>
      </c>
      <c r="E124" s="339">
        <f>E122-E123</f>
        <v>10651655</v>
      </c>
      <c r="F124" s="336">
        <f>(E124/D124)*100</f>
        <v>53.685547535727352</v>
      </c>
      <c r="H124" s="89"/>
      <c r="I124" s="89"/>
      <c r="J124" s="89"/>
      <c r="K124" s="17"/>
      <c r="N124" s="17"/>
    </row>
    <row r="125" spans="1:14" ht="15" thickTop="1" x14ac:dyDescent="0.2"/>
  </sheetData>
  <mergeCells count="12">
    <mergeCell ref="A123:B123"/>
    <mergeCell ref="A107:B107"/>
    <mergeCell ref="A1:F1"/>
    <mergeCell ref="A2:F2"/>
    <mergeCell ref="A121:B121"/>
    <mergeCell ref="A122:B122"/>
    <mergeCell ref="A110:E111"/>
    <mergeCell ref="A116:B116"/>
    <mergeCell ref="A117:B117"/>
    <mergeCell ref="A118:B118"/>
    <mergeCell ref="A119:B119"/>
    <mergeCell ref="A120:B120"/>
  </mergeCells>
  <phoneticPr fontId="17" type="noConversion"/>
  <pageMargins left="0.78740157480314965" right="0.78740157480314965" top="0.78740157480314965" bottom="0.78740157480314965" header="0.51181102362204722" footer="0.51181102362204722"/>
  <pageSetup paperSize="9" scale="76" firstPageNumber="5" orientation="portrait" useFirstPageNumber="1" r:id="rId1"/>
  <headerFooter alignWithMargins="0">
    <oddFooter xml:space="preserve">&amp;L&amp;"Arial,Kurzíva"Zastupitelstvo Olomouckého kraje 20. 9. 2021
7.3. - Rozpočet Olomouckého kraje 2021 - plnění rozpočtu k 30. 6. 2021
Příloha č.2 DZ - Plnění rozpočtu Olomouckého kraje k 30. 6. 2021&amp;R&amp;"Arial,Kurzíva"Strana &amp;P (Celkem 8)
</oddFooter>
  </headerFooter>
  <rowBreaks count="1" manualBreakCount="1">
    <brk id="60" max="5" man="1"/>
  </rowBreaks>
  <ignoredErrors>
    <ignoredError sqref="E30 C30:D30" unlockedFormula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G30"/>
  <sheetViews>
    <sheetView showGridLines="0" view="pageBreakPreview" zoomScale="110" zoomScaleNormal="100" zoomScaleSheetLayoutView="110" workbookViewId="0">
      <selection activeCell="C21" sqref="C21"/>
    </sheetView>
  </sheetViews>
  <sheetFormatPr defaultColWidth="9.140625" defaultRowHeight="12.75" x14ac:dyDescent="0.2"/>
  <cols>
    <col min="1" max="1" width="44.28515625" style="1" customWidth="1"/>
    <col min="2" max="2" width="15.85546875" style="1" customWidth="1"/>
    <col min="3" max="3" width="15.5703125" style="169" customWidth="1"/>
    <col min="4" max="4" width="15.7109375" style="169" customWidth="1"/>
    <col min="5" max="5" width="5.140625" style="1" customWidth="1"/>
    <col min="6" max="6" width="10.85546875" style="1" bestFit="1" customWidth="1"/>
    <col min="7" max="7" width="10.140625" style="1" bestFit="1" customWidth="1"/>
    <col min="8" max="16384" width="9.140625" style="1"/>
  </cols>
  <sheetData>
    <row r="1" spans="1:7" ht="20.25" x14ac:dyDescent="0.3">
      <c r="A1" s="512" t="s">
        <v>154</v>
      </c>
      <c r="B1" s="512"/>
      <c r="C1" s="512"/>
      <c r="D1" s="512"/>
      <c r="E1" s="512"/>
    </row>
    <row r="3" spans="1:7" x14ac:dyDescent="0.2">
      <c r="A3" s="507" t="s">
        <v>98</v>
      </c>
      <c r="B3" s="507"/>
      <c r="C3" s="507"/>
      <c r="D3" s="507"/>
      <c r="E3" s="507"/>
    </row>
    <row r="4" spans="1:7" ht="30.75" customHeight="1" x14ac:dyDescent="0.2">
      <c r="A4" s="507"/>
      <c r="B4" s="507"/>
      <c r="C4" s="507"/>
      <c r="D4" s="507"/>
      <c r="E4" s="507"/>
    </row>
    <row r="6" spans="1:7" ht="13.5" thickBot="1" x14ac:dyDescent="0.25">
      <c r="B6" s="9"/>
      <c r="C6" s="174"/>
      <c r="D6" s="170"/>
      <c r="E6" s="2" t="s">
        <v>0</v>
      </c>
    </row>
    <row r="7" spans="1:7" ht="14.25" thickTop="1" thickBot="1" x14ac:dyDescent="0.25">
      <c r="A7" s="268" t="s">
        <v>89</v>
      </c>
      <c r="B7" s="269" t="s">
        <v>11</v>
      </c>
      <c r="C7" s="270" t="s">
        <v>12</v>
      </c>
      <c r="D7" s="270" t="s">
        <v>4</v>
      </c>
      <c r="E7" s="270" t="s">
        <v>5</v>
      </c>
      <c r="F7" s="13"/>
      <c r="G7" s="13"/>
    </row>
    <row r="8" spans="1:7" ht="14.25" thickTop="1" thickBot="1" x14ac:dyDescent="0.25">
      <c r="A8" s="266">
        <v>1</v>
      </c>
      <c r="B8" s="264">
        <v>2</v>
      </c>
      <c r="C8" s="264">
        <v>3</v>
      </c>
      <c r="D8" s="264">
        <v>4</v>
      </c>
      <c r="E8" s="264" t="s">
        <v>6</v>
      </c>
      <c r="F8" s="13"/>
      <c r="G8" s="13"/>
    </row>
    <row r="9" spans="1:7" ht="15" hidden="1" thickTop="1" x14ac:dyDescent="0.2">
      <c r="A9" s="246" t="s">
        <v>115</v>
      </c>
      <c r="B9" s="247">
        <v>0</v>
      </c>
      <c r="C9" s="248">
        <v>0</v>
      </c>
      <c r="D9" s="248">
        <v>0</v>
      </c>
      <c r="E9" s="80" t="e">
        <f>(D9/C9)*100</f>
        <v>#DIV/0!</v>
      </c>
      <c r="F9" s="13"/>
      <c r="G9" s="13"/>
    </row>
    <row r="10" spans="1:7" ht="29.25" thickTop="1" x14ac:dyDescent="0.2">
      <c r="A10" s="244" t="s">
        <v>116</v>
      </c>
      <c r="B10" s="249">
        <v>121000</v>
      </c>
      <c r="C10" s="245">
        <v>592825</v>
      </c>
      <c r="D10" s="245">
        <v>-2079703</v>
      </c>
      <c r="E10" s="237">
        <f>(D10/C10)*100</f>
        <v>-350.81229705224979</v>
      </c>
      <c r="F10" s="13"/>
      <c r="G10" s="13"/>
    </row>
    <row r="11" spans="1:7" ht="28.5" hidden="1" x14ac:dyDescent="0.2">
      <c r="A11" s="244" t="s">
        <v>120</v>
      </c>
      <c r="B11" s="249"/>
      <c r="C11" s="245"/>
      <c r="D11" s="245"/>
      <c r="E11" s="237"/>
      <c r="F11" s="13"/>
      <c r="G11" s="13"/>
    </row>
    <row r="12" spans="1:7" ht="28.5" hidden="1" x14ac:dyDescent="0.2">
      <c r="A12" s="244" t="s">
        <v>122</v>
      </c>
      <c r="B12" s="249">
        <v>0</v>
      </c>
      <c r="C12" s="245">
        <v>0</v>
      </c>
      <c r="D12" s="245">
        <v>0</v>
      </c>
      <c r="E12" s="237"/>
      <c r="F12" s="13"/>
      <c r="G12" s="13"/>
    </row>
    <row r="13" spans="1:7" ht="14.25" x14ac:dyDescent="0.2">
      <c r="A13" s="244" t="s">
        <v>121</v>
      </c>
      <c r="B13" s="249">
        <v>500000</v>
      </c>
      <c r="C13" s="245">
        <v>500000</v>
      </c>
      <c r="D13" s="245">
        <v>100000</v>
      </c>
      <c r="E13" s="237">
        <f t="shared" ref="E13" si="0">(D13/C13)*100</f>
        <v>20</v>
      </c>
      <c r="F13" s="13"/>
      <c r="G13" s="13"/>
    </row>
    <row r="14" spans="1:7" ht="15" x14ac:dyDescent="0.25">
      <c r="A14" s="223" t="s">
        <v>117</v>
      </c>
      <c r="B14" s="227">
        <v>-521341</v>
      </c>
      <c r="C14" s="232">
        <v>-590055</v>
      </c>
      <c r="D14" s="232">
        <v>-204384</v>
      </c>
      <c r="E14" s="237">
        <f>(D14/C14)*100</f>
        <v>34.638126954266973</v>
      </c>
      <c r="F14" s="27"/>
      <c r="G14" s="13"/>
    </row>
    <row r="15" spans="1:7" ht="43.5" x14ac:dyDescent="0.25">
      <c r="A15" s="358" t="s">
        <v>130</v>
      </c>
      <c r="B15" s="359">
        <v>0</v>
      </c>
      <c r="C15" s="360">
        <v>0</v>
      </c>
      <c r="D15" s="360">
        <v>551</v>
      </c>
      <c r="E15" s="261"/>
      <c r="F15" s="27"/>
      <c r="G15" s="13"/>
    </row>
    <row r="16" spans="1:7" ht="16.5" thickBot="1" x14ac:dyDescent="0.3">
      <c r="A16" s="238" t="s">
        <v>90</v>
      </c>
      <c r="B16" s="239">
        <f>SUM(B9:B15)</f>
        <v>99659</v>
      </c>
      <c r="C16" s="239">
        <f>SUM(C9:C15)</f>
        <v>502770</v>
      </c>
      <c r="D16" s="239">
        <f>SUM(D9:D15)</f>
        <v>-2183536</v>
      </c>
      <c r="E16" s="240">
        <f>(D16/C16)*100</f>
        <v>-434.30117150983551</v>
      </c>
      <c r="F16" s="13"/>
      <c r="G16" s="13"/>
    </row>
    <row r="17" spans="1:7" ht="13.5" thickTop="1" x14ac:dyDescent="0.2">
      <c r="A17" s="225"/>
      <c r="B17" s="225"/>
      <c r="C17" s="226"/>
      <c r="D17" s="226"/>
      <c r="E17" s="225"/>
      <c r="F17" s="13"/>
      <c r="G17" s="13"/>
    </row>
    <row r="18" spans="1:7" x14ac:dyDescent="0.2">
      <c r="A18" s="225"/>
      <c r="B18" s="225"/>
      <c r="C18" s="226"/>
      <c r="D18" s="226"/>
      <c r="E18" s="225"/>
      <c r="F18" s="13"/>
      <c r="G18" s="13"/>
    </row>
    <row r="19" spans="1:7" x14ac:dyDescent="0.2">
      <c r="A19" s="225"/>
      <c r="B19" s="225"/>
      <c r="C19" s="226"/>
      <c r="D19" s="226"/>
      <c r="E19" s="225"/>
      <c r="F19" s="13"/>
      <c r="G19" s="13"/>
    </row>
    <row r="20" spans="1:7" x14ac:dyDescent="0.2">
      <c r="A20" s="225"/>
      <c r="B20" s="225"/>
      <c r="C20" s="226"/>
      <c r="D20" s="226"/>
      <c r="E20" s="225"/>
      <c r="F20" s="13"/>
      <c r="G20" s="13"/>
    </row>
    <row r="21" spans="1:7" x14ac:dyDescent="0.2">
      <c r="A21" s="225"/>
      <c r="B21" s="225"/>
      <c r="C21" s="226"/>
      <c r="D21" s="226"/>
      <c r="E21" s="225"/>
      <c r="F21" s="13"/>
      <c r="G21" s="13"/>
    </row>
    <row r="22" spans="1:7" x14ac:dyDescent="0.2">
      <c r="A22" s="225"/>
      <c r="B22" s="225"/>
      <c r="C22" s="226"/>
      <c r="D22" s="226"/>
      <c r="E22" s="225"/>
      <c r="F22" s="13"/>
      <c r="G22" s="13"/>
    </row>
    <row r="23" spans="1:7" ht="25.5" customHeight="1" x14ac:dyDescent="0.2">
      <c r="A23" s="225"/>
      <c r="B23" s="225"/>
      <c r="C23" s="226"/>
      <c r="D23" s="226"/>
      <c r="E23" s="225"/>
      <c r="F23" s="13"/>
      <c r="G23" s="13"/>
    </row>
    <row r="24" spans="1:7" x14ac:dyDescent="0.2">
      <c r="A24" s="225"/>
      <c r="B24" s="225"/>
      <c r="C24" s="226"/>
      <c r="D24" s="226"/>
      <c r="E24" s="225"/>
    </row>
    <row r="30" spans="1:7" x14ac:dyDescent="0.2">
      <c r="C30" s="1"/>
      <c r="D30" s="1"/>
    </row>
  </sheetData>
  <mergeCells count="2">
    <mergeCell ref="A3:E4"/>
    <mergeCell ref="A1:E1"/>
  </mergeCells>
  <pageMargins left="0.98425196850393704" right="0" top="0.98425196850393704" bottom="0.98425196850393704" header="0.51181102362204722" footer="0.51181102362204722"/>
  <pageSetup paperSize="9" scale="85" firstPageNumber="7" orientation="portrait" cellComments="asDisplayed" useFirstPageNumber="1" r:id="rId1"/>
  <headerFooter alignWithMargins="0">
    <oddFooter xml:space="preserve">&amp;L&amp;"Arial CE,Kurzíva"Zastupitelstvo Olomouckého kraje 20. 9. 2021
7.3. - Rozpočet Olomouckého kraje 2021 - plnění rozpočtu k 30. 6. 2021
Příloha č. 2 DZ - Plnění rozpočtu Olomouckého kraje k 30. 6. 2021&amp;R&amp;"Arial CE,Kurzíva"Strana &amp;P (Celkem 8)
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U11"/>
  <sheetViews>
    <sheetView showGridLines="0" view="pageBreakPreview" zoomScale="110" zoomScaleNormal="100" zoomScaleSheetLayoutView="110" workbookViewId="0">
      <selection activeCell="G12" sqref="G12"/>
    </sheetView>
  </sheetViews>
  <sheetFormatPr defaultRowHeight="12.75" x14ac:dyDescent="0.2"/>
  <cols>
    <col min="4" max="4" width="31.42578125" customWidth="1"/>
    <col min="5" max="5" width="15.28515625" customWidth="1"/>
    <col min="6" max="6" width="15.140625" customWidth="1"/>
    <col min="7" max="7" width="15" customWidth="1"/>
    <col min="8" max="8" width="5.5703125" customWidth="1"/>
  </cols>
  <sheetData>
    <row r="1" spans="1:21" ht="20.25" x14ac:dyDescent="0.3">
      <c r="A1" s="535" t="s">
        <v>155</v>
      </c>
      <c r="B1" s="535"/>
      <c r="C1" s="535"/>
      <c r="D1" s="535"/>
      <c r="E1" s="535"/>
      <c r="F1" s="535"/>
      <c r="G1" s="535"/>
      <c r="H1" s="535"/>
    </row>
    <row r="2" spans="1:21" s="93" customFormat="1" ht="15.75" x14ac:dyDescent="0.25">
      <c r="A2" s="94"/>
      <c r="B2" s="91"/>
      <c r="C2" s="91"/>
      <c r="D2" s="91"/>
      <c r="E2" s="92"/>
      <c r="F2" s="92"/>
      <c r="G2" s="92"/>
      <c r="H2" s="92"/>
    </row>
    <row r="3" spans="1:21" s="93" customFormat="1" ht="14.25" customHeight="1" x14ac:dyDescent="0.25">
      <c r="A3" s="95"/>
      <c r="B3" s="91"/>
      <c r="C3" s="91"/>
      <c r="D3" s="91"/>
      <c r="E3" s="92"/>
      <c r="F3" s="92"/>
      <c r="G3" s="92"/>
      <c r="H3" s="4"/>
    </row>
    <row r="4" spans="1:21" s="93" customFormat="1" ht="14.25" customHeight="1" thickBot="1" x14ac:dyDescent="0.3">
      <c r="A4" s="95"/>
      <c r="B4" s="91"/>
      <c r="C4" s="91"/>
      <c r="D4" s="91"/>
      <c r="E4" s="92"/>
      <c r="F4" s="92"/>
      <c r="G4" s="536" t="s">
        <v>73</v>
      </c>
      <c r="H4" s="536"/>
    </row>
    <row r="5" spans="1:21" s="93" customFormat="1" ht="14.25" customHeight="1" thickTop="1" thickBot="1" x14ac:dyDescent="0.25">
      <c r="A5" s="275"/>
      <c r="B5" s="276"/>
      <c r="C5" s="276"/>
      <c r="D5" s="277"/>
      <c r="E5" s="264" t="s">
        <v>11</v>
      </c>
      <c r="F5" s="264" t="s">
        <v>12</v>
      </c>
      <c r="G5" s="264" t="s">
        <v>4</v>
      </c>
      <c r="H5" s="267" t="s">
        <v>5</v>
      </c>
    </row>
    <row r="6" spans="1:21" s="93" customFormat="1" ht="14.25" customHeight="1" thickTop="1" thickBot="1" x14ac:dyDescent="0.25">
      <c r="A6" s="532">
        <v>1</v>
      </c>
      <c r="B6" s="533"/>
      <c r="C6" s="533"/>
      <c r="D6" s="534"/>
      <c r="E6" s="278">
        <v>2</v>
      </c>
      <c r="F6" s="278">
        <v>3</v>
      </c>
      <c r="G6" s="278">
        <v>4</v>
      </c>
      <c r="H6" s="279" t="s">
        <v>96</v>
      </c>
    </row>
    <row r="7" spans="1:21" s="96" customFormat="1" ht="19.5" thickTop="1" x14ac:dyDescent="0.4">
      <c r="A7" s="280" t="s">
        <v>38</v>
      </c>
      <c r="B7" s="281"/>
      <c r="C7" s="281"/>
      <c r="D7" s="282"/>
      <c r="E7" s="283">
        <f>'Příjmy OK - příloha č. 2'!B15</f>
        <v>5856392</v>
      </c>
      <c r="F7" s="283">
        <f>'Příjmy OK - příloha č. 2'!C15</f>
        <v>19338054</v>
      </c>
      <c r="G7" s="283">
        <f>'Příjmy OK - příloha č. 2'!D15</f>
        <v>12835191</v>
      </c>
      <c r="H7" s="284">
        <f>(G7/F7)*100</f>
        <v>66.372712580076566</v>
      </c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</row>
    <row r="8" spans="1:21" s="96" customFormat="1" ht="18.75" x14ac:dyDescent="0.4">
      <c r="A8" s="285" t="s">
        <v>39</v>
      </c>
      <c r="B8" s="286"/>
      <c r="C8" s="286"/>
      <c r="D8" s="287"/>
      <c r="E8" s="288">
        <f>'Výdaje OK - příloha č. 2'!C109</f>
        <v>5956051</v>
      </c>
      <c r="F8" s="288">
        <f>'Výdaje OK - příloha č. 2'!D109</f>
        <v>19840824</v>
      </c>
      <c r="G8" s="288">
        <f>'Výdaje OK - příloha č. 2'!E109</f>
        <v>10651655</v>
      </c>
      <c r="H8" s="289">
        <f>(G8/F8)*100</f>
        <v>53.685547535727352</v>
      </c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</row>
    <row r="9" spans="1:21" s="96" customFormat="1" ht="18.75" x14ac:dyDescent="0.4">
      <c r="A9" s="285" t="s">
        <v>89</v>
      </c>
      <c r="B9" s="286"/>
      <c r="C9" s="286"/>
      <c r="D9" s="287"/>
      <c r="E9" s="288">
        <f>'Financování OK - příloha č. 2'!B16</f>
        <v>99659</v>
      </c>
      <c r="F9" s="288">
        <f>'Financování OK - příloha č. 2'!C16</f>
        <v>502770</v>
      </c>
      <c r="G9" s="288">
        <f>'Financování OK - příloha č. 2'!D16</f>
        <v>-2183536</v>
      </c>
      <c r="H9" s="289">
        <f>(G9/F9)*100</f>
        <v>-434.30117150983551</v>
      </c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</row>
    <row r="10" spans="1:21" s="96" customFormat="1" ht="21.75" customHeight="1" thickBot="1" x14ac:dyDescent="0.3">
      <c r="A10" s="290" t="s">
        <v>93</v>
      </c>
      <c r="B10" s="291"/>
      <c r="C10" s="291"/>
      <c r="D10" s="291"/>
      <c r="E10" s="292"/>
      <c r="F10" s="293"/>
      <c r="G10" s="294">
        <f>G7-G8</f>
        <v>2183536</v>
      </c>
      <c r="H10" s="295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</row>
    <row r="11" spans="1:21" ht="13.5" thickTop="1" x14ac:dyDescent="0.2"/>
  </sheetData>
  <mergeCells count="3">
    <mergeCell ref="A6:D6"/>
    <mergeCell ref="A1:H1"/>
    <mergeCell ref="G4:H4"/>
  </mergeCells>
  <phoneticPr fontId="5" type="noConversion"/>
  <pageMargins left="0.59055118110236227" right="0.59055118110236227" top="0.78740157480314965" bottom="0.78740157480314965" header="0.51181102362204722" footer="0.51181102362204722"/>
  <pageSetup paperSize="9" scale="80" firstPageNumber="8" orientation="portrait" useFirstPageNumber="1" r:id="rId1"/>
  <headerFooter alignWithMargins="0">
    <oddFooter xml:space="preserve">&amp;L&amp;"Arial CE,Kurzíva"Zastupitelstvo Olomouckého kraje 20. 9. 2021
7.3. - Rozpočet Olomouckého kraje 2021 - plnění rozpočtu k 30. 6. 2021
Příloha č.2 DZ - Plnění rozpočtu Olomouckého kraje k 30. 6. 2021&amp;R&amp;"Arial CE,Kurzíva"Strana &amp;P (Celkem 8)
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24"/>
  </sheetPr>
  <dimension ref="A1:N62"/>
  <sheetViews>
    <sheetView showGridLines="0" zoomScaleNormal="100" workbookViewId="0">
      <selection activeCell="B28" sqref="B28"/>
    </sheetView>
  </sheetViews>
  <sheetFormatPr defaultColWidth="9.140625" defaultRowHeight="14.25" x14ac:dyDescent="0.2"/>
  <cols>
    <col min="1" max="1" width="39.42578125" style="22" customWidth="1"/>
    <col min="2" max="2" width="5.140625" style="112" customWidth="1"/>
    <col min="3" max="3" width="14.85546875" style="20" customWidth="1"/>
    <col min="4" max="5" width="16" style="20" customWidth="1"/>
    <col min="6" max="6" width="8.42578125" style="20" customWidth="1"/>
    <col min="7" max="8" width="16.28515625" style="20" customWidth="1"/>
    <col min="9" max="9" width="16.7109375" style="20" customWidth="1"/>
    <col min="10" max="10" width="18.140625" style="15" customWidth="1"/>
    <col min="11" max="11" width="21" style="21" customWidth="1"/>
    <col min="12" max="12" width="2.7109375" style="17" customWidth="1"/>
    <col min="13" max="13" width="16.5703125" style="17" customWidth="1"/>
    <col min="14" max="14" width="17.5703125" style="16" customWidth="1"/>
    <col min="15" max="16" width="9.140625" style="17"/>
    <col min="17" max="17" width="11.140625" style="17" bestFit="1" customWidth="1"/>
    <col min="18" max="16384" width="9.140625" style="17"/>
  </cols>
  <sheetData>
    <row r="1" spans="1:14" ht="23.25" x14ac:dyDescent="0.35">
      <c r="A1" s="517" t="s">
        <v>74</v>
      </c>
      <c r="B1" s="537"/>
      <c r="C1" s="537"/>
      <c r="D1" s="537"/>
      <c r="E1" s="537"/>
      <c r="F1" s="537"/>
      <c r="G1" s="176"/>
      <c r="H1" s="176"/>
      <c r="I1" s="176"/>
      <c r="K1" s="16"/>
    </row>
    <row r="2" spans="1:14" ht="15" thickBot="1" x14ac:dyDescent="0.25">
      <c r="F2" s="23" t="s">
        <v>0</v>
      </c>
      <c r="G2" s="23"/>
      <c r="H2" s="23"/>
      <c r="I2" s="23"/>
    </row>
    <row r="3" spans="1:14" s="25" customFormat="1" thickTop="1" thickBot="1" x14ac:dyDescent="0.25">
      <c r="A3" s="158" t="s">
        <v>9</v>
      </c>
      <c r="B3" s="159" t="s">
        <v>10</v>
      </c>
      <c r="C3" s="160" t="s">
        <v>11</v>
      </c>
      <c r="D3" s="160" t="s">
        <v>12</v>
      </c>
      <c r="E3" s="160" t="s">
        <v>4</v>
      </c>
      <c r="F3" s="161" t="s">
        <v>5</v>
      </c>
      <c r="G3" s="24"/>
      <c r="H3" s="24"/>
      <c r="I3" s="24"/>
      <c r="J3" s="73"/>
      <c r="K3" s="66"/>
      <c r="N3" s="26"/>
    </row>
    <row r="4" spans="1:14" s="35" customFormat="1" ht="15.75" thickTop="1" x14ac:dyDescent="0.25">
      <c r="A4" s="212" t="s">
        <v>18</v>
      </c>
      <c r="B4" s="113">
        <v>3</v>
      </c>
      <c r="C4" s="86">
        <f>C5+C6+C7+C8+C9</f>
        <v>299231</v>
      </c>
      <c r="D4" s="86">
        <f>D5+D6+D7+D8+D9</f>
        <v>303137</v>
      </c>
      <c r="E4" s="86">
        <f>E5+E6+E7+E8+E9</f>
        <v>187892</v>
      </c>
      <c r="F4" s="213">
        <f t="shared" ref="F4:F9" si="0">(E4/D4)*100</f>
        <v>61.982535949092323</v>
      </c>
      <c r="G4" s="27"/>
      <c r="H4" s="27"/>
      <c r="I4" s="27"/>
      <c r="J4" s="27"/>
      <c r="K4" s="67"/>
      <c r="N4" s="36"/>
    </row>
    <row r="5" spans="1:14" s="35" customFormat="1" x14ac:dyDescent="0.2">
      <c r="A5" s="214" t="s">
        <v>14</v>
      </c>
      <c r="B5" s="37"/>
      <c r="C5" s="30">
        <v>291081</v>
      </c>
      <c r="D5" s="30">
        <v>293591</v>
      </c>
      <c r="E5" s="30">
        <v>183624</v>
      </c>
      <c r="F5" s="215">
        <f t="shared" si="0"/>
        <v>62.544151557779358</v>
      </c>
      <c r="G5" s="31"/>
      <c r="H5" s="31"/>
      <c r="I5" s="31"/>
      <c r="J5" s="31"/>
      <c r="K5" s="55"/>
      <c r="N5" s="36"/>
    </row>
    <row r="6" spans="1:14" s="35" customFormat="1" x14ac:dyDescent="0.2">
      <c r="A6" s="214" t="s">
        <v>15</v>
      </c>
      <c r="B6" s="37"/>
      <c r="C6" s="30">
        <v>2200</v>
      </c>
      <c r="D6" s="30">
        <v>2480</v>
      </c>
      <c r="E6" s="30">
        <v>123</v>
      </c>
      <c r="F6" s="215">
        <f t="shared" si="0"/>
        <v>4.959677419354839</v>
      </c>
      <c r="G6" s="31"/>
      <c r="H6" s="31"/>
      <c r="I6" s="31"/>
      <c r="J6" s="31"/>
      <c r="K6" s="55"/>
      <c r="N6" s="36"/>
    </row>
    <row r="7" spans="1:14" s="32" customFormat="1" x14ac:dyDescent="0.2">
      <c r="A7" s="216" t="s">
        <v>16</v>
      </c>
      <c r="B7" s="29"/>
      <c r="C7" s="30">
        <v>0</v>
      </c>
      <c r="D7" s="30">
        <v>1116</v>
      </c>
      <c r="E7" s="30">
        <v>310</v>
      </c>
      <c r="F7" s="215">
        <f t="shared" si="0"/>
        <v>27.777777777777779</v>
      </c>
      <c r="G7" s="31"/>
      <c r="H7" s="88">
        <f>D7+D8</f>
        <v>1116</v>
      </c>
      <c r="I7" s="88">
        <f>E7+E8</f>
        <v>310</v>
      </c>
      <c r="J7" s="88"/>
      <c r="K7" s="55"/>
      <c r="N7" s="33"/>
    </row>
    <row r="8" spans="1:14" s="32" customFormat="1" x14ac:dyDescent="0.2">
      <c r="A8" s="216" t="s">
        <v>17</v>
      </c>
      <c r="B8" s="29"/>
      <c r="C8" s="30">
        <v>0</v>
      </c>
      <c r="D8" s="30">
        <v>0</v>
      </c>
      <c r="E8" s="30">
        <v>0</v>
      </c>
      <c r="F8" s="215">
        <v>0</v>
      </c>
      <c r="G8" s="31"/>
      <c r="H8" s="31"/>
      <c r="I8" s="31"/>
      <c r="J8" s="31"/>
      <c r="K8" s="55"/>
      <c r="N8" s="33"/>
    </row>
    <row r="9" spans="1:14" s="32" customFormat="1" ht="15" thickBot="1" x14ac:dyDescent="0.25">
      <c r="A9" s="217" t="s">
        <v>43</v>
      </c>
      <c r="B9" s="218"/>
      <c r="C9" s="219">
        <v>5950</v>
      </c>
      <c r="D9" s="219">
        <v>5950</v>
      </c>
      <c r="E9" s="219">
        <v>3835</v>
      </c>
      <c r="F9" s="220">
        <f t="shared" si="0"/>
        <v>64.453781512605048</v>
      </c>
      <c r="G9" s="31"/>
      <c r="H9" s="31"/>
      <c r="I9" s="31"/>
      <c r="J9" s="31"/>
      <c r="K9" s="55"/>
      <c r="N9" s="33"/>
    </row>
    <row r="10" spans="1:14" s="32" customFormat="1" ht="12.75" customHeight="1" x14ac:dyDescent="0.2">
      <c r="A10" s="39"/>
      <c r="B10" s="40"/>
      <c r="E10" s="167" t="e">
        <f>SUM(#REF!,#REF!,#REF!,#REF!,#REF!,#REF!,E4,#REF!,#REF!)</f>
        <v>#REF!</v>
      </c>
      <c r="F10" s="42"/>
      <c r="G10" s="42"/>
      <c r="H10" s="42"/>
      <c r="I10" s="42"/>
      <c r="J10" s="70"/>
      <c r="K10" s="46"/>
      <c r="N10" s="33"/>
    </row>
    <row r="11" spans="1:14" s="32" customFormat="1" ht="12.75" customHeight="1" x14ac:dyDescent="0.2">
      <c r="A11" s="39"/>
      <c r="B11" s="40"/>
      <c r="C11" s="47"/>
      <c r="D11" s="43"/>
      <c r="E11" s="167" t="e">
        <f>SUM(#REF!,#REF!,#REF!,#REF!,#REF!,#REF!,C4,#REF!,#REF!)</f>
        <v>#REF!</v>
      </c>
      <c r="F11" s="43"/>
      <c r="G11" s="42"/>
      <c r="H11" s="42"/>
      <c r="I11" s="42"/>
      <c r="J11" s="70"/>
      <c r="K11" s="46"/>
      <c r="N11" s="33"/>
    </row>
    <row r="12" spans="1:14" s="32" customFormat="1" ht="12.75" customHeight="1" x14ac:dyDescent="0.2">
      <c r="A12" s="39"/>
      <c r="B12" s="40"/>
      <c r="C12" s="47"/>
      <c r="D12" s="43"/>
      <c r="E12" s="43"/>
      <c r="F12" s="42"/>
      <c r="G12" s="42"/>
      <c r="H12" s="42"/>
      <c r="I12" s="42"/>
      <c r="J12" s="70"/>
      <c r="K12" s="46"/>
      <c r="N12" s="33"/>
    </row>
    <row r="13" spans="1:14" s="32" customFormat="1" ht="12.75" customHeight="1" x14ac:dyDescent="0.2">
      <c r="A13" s="39"/>
      <c r="B13" s="40"/>
      <c r="C13" s="45"/>
      <c r="D13" s="43"/>
      <c r="E13" s="43"/>
      <c r="F13" s="42"/>
      <c r="G13" s="42"/>
      <c r="H13" s="42"/>
      <c r="I13" s="42"/>
      <c r="J13" s="70"/>
      <c r="K13" s="46"/>
      <c r="N13" s="33"/>
    </row>
    <row r="14" spans="1:14" s="53" customFormat="1" ht="12.75" customHeight="1" x14ac:dyDescent="0.2">
      <c r="A14" s="39"/>
      <c r="B14" s="40"/>
      <c r="C14" s="45"/>
      <c r="D14" s="43"/>
      <c r="E14" s="43"/>
      <c r="F14" s="42"/>
      <c r="G14" s="42"/>
      <c r="H14" s="42"/>
      <c r="I14" s="42"/>
      <c r="J14" s="70"/>
      <c r="K14" s="46"/>
      <c r="N14" s="54"/>
    </row>
    <row r="15" spans="1:14" s="53" customFormat="1" ht="12.75" customHeight="1" x14ac:dyDescent="0.2">
      <c r="A15" s="39"/>
      <c r="B15" s="40"/>
      <c r="C15" s="45"/>
      <c r="D15" s="128"/>
      <c r="E15" s="128"/>
      <c r="F15" s="42"/>
      <c r="G15" s="42"/>
      <c r="H15" s="42"/>
      <c r="I15" s="42"/>
      <c r="J15" s="70"/>
      <c r="K15" s="46"/>
      <c r="N15" s="54"/>
    </row>
    <row r="16" spans="1:14" s="53" customFormat="1" ht="12.75" customHeight="1" x14ac:dyDescent="0.2">
      <c r="A16" s="39"/>
      <c r="B16" s="40"/>
      <c r="C16" s="45"/>
      <c r="D16" s="128"/>
      <c r="E16" s="128"/>
      <c r="F16" s="42"/>
      <c r="G16" s="42"/>
      <c r="H16" s="42"/>
      <c r="I16" s="42"/>
      <c r="J16" s="70"/>
      <c r="K16" s="46"/>
      <c r="N16" s="54"/>
    </row>
    <row r="17" spans="1:14" s="78" customFormat="1" ht="24" customHeight="1" x14ac:dyDescent="0.25">
      <c r="A17" s="194"/>
      <c r="B17" s="194"/>
      <c r="C17" s="195"/>
      <c r="D17" s="196"/>
      <c r="E17" s="195"/>
      <c r="F17" s="197"/>
      <c r="G17" s="27"/>
      <c r="H17" s="27"/>
      <c r="I17" s="27"/>
      <c r="J17" s="74"/>
      <c r="K17" s="71"/>
      <c r="L17" s="43"/>
      <c r="N17" s="79"/>
    </row>
    <row r="18" spans="1:14" s="78" customFormat="1" ht="18" x14ac:dyDescent="0.25">
      <c r="A18" s="198"/>
      <c r="B18" s="199"/>
      <c r="C18" s="200"/>
      <c r="D18" s="200"/>
      <c r="E18" s="200"/>
      <c r="F18" s="197"/>
      <c r="G18" s="27"/>
      <c r="H18" s="27"/>
      <c r="I18" s="27"/>
      <c r="J18" s="75"/>
      <c r="K18" s="72"/>
      <c r="L18" s="41"/>
      <c r="N18" s="79"/>
    </row>
    <row r="19" spans="1:14" s="78" customFormat="1" ht="15" hidden="1" thickTop="1" x14ac:dyDescent="0.2">
      <c r="A19" s="177"/>
      <c r="B19" s="40"/>
      <c r="C19" s="178"/>
      <c r="D19" s="178"/>
      <c r="E19" s="178"/>
      <c r="F19" s="179"/>
      <c r="G19" s="179"/>
      <c r="H19" s="179"/>
      <c r="I19" s="179"/>
      <c r="J19" s="70"/>
      <c r="K19" s="68"/>
      <c r="L19" s="180"/>
      <c r="N19" s="79"/>
    </row>
    <row r="20" spans="1:14" s="78" customFormat="1" ht="15" hidden="1" thickTop="1" x14ac:dyDescent="0.2">
      <c r="A20" s="177"/>
      <c r="B20" s="40"/>
      <c r="C20" s="178"/>
      <c r="D20" s="178"/>
      <c r="E20" s="178"/>
      <c r="F20" s="179"/>
      <c r="G20" s="179"/>
      <c r="H20" s="179"/>
      <c r="I20" s="179"/>
      <c r="J20" s="70"/>
      <c r="K20" s="68"/>
      <c r="L20" s="180"/>
      <c r="N20" s="79"/>
    </row>
    <row r="21" spans="1:14" s="78" customFormat="1" ht="15" hidden="1" thickTop="1" x14ac:dyDescent="0.2">
      <c r="A21" s="177"/>
      <c r="B21" s="40"/>
      <c r="C21" s="178"/>
      <c r="D21" s="178"/>
      <c r="E21" s="178"/>
      <c r="F21" s="179"/>
      <c r="G21" s="179"/>
      <c r="H21" s="179"/>
      <c r="I21" s="179"/>
      <c r="J21" s="70"/>
      <c r="K21" s="68"/>
      <c r="L21" s="180"/>
      <c r="N21" s="79"/>
    </row>
    <row r="22" spans="1:14" s="78" customFormat="1" ht="15.75" hidden="1" thickTop="1" x14ac:dyDescent="0.25">
      <c r="A22" s="177"/>
      <c r="B22" s="40"/>
      <c r="C22" s="181"/>
      <c r="D22" s="181"/>
      <c r="E22" s="181"/>
      <c r="F22" s="182"/>
      <c r="G22" s="182"/>
      <c r="H22" s="182"/>
      <c r="I22" s="182"/>
      <c r="J22" s="70"/>
      <c r="K22" s="67"/>
      <c r="L22" s="180"/>
      <c r="N22" s="79"/>
    </row>
    <row r="23" spans="1:14" s="78" customFormat="1" ht="15" hidden="1" thickTop="1" x14ac:dyDescent="0.2">
      <c r="A23" s="177"/>
      <c r="B23" s="40"/>
      <c r="C23" s="178"/>
      <c r="D23" s="178"/>
      <c r="E23" s="178"/>
      <c r="F23" s="179"/>
      <c r="G23" s="179"/>
      <c r="H23" s="179"/>
      <c r="I23" s="179"/>
      <c r="J23" s="70"/>
      <c r="K23" s="68"/>
      <c r="L23" s="180"/>
      <c r="N23" s="79"/>
    </row>
    <row r="24" spans="1:14" s="78" customFormat="1" ht="15" hidden="1" thickTop="1" x14ac:dyDescent="0.2">
      <c r="A24" s="177"/>
      <c r="B24" s="40"/>
      <c r="C24" s="178"/>
      <c r="D24" s="178"/>
      <c r="E24" s="178"/>
      <c r="F24" s="179"/>
      <c r="G24" s="179"/>
      <c r="H24" s="179"/>
      <c r="I24" s="179"/>
      <c r="J24" s="70"/>
      <c r="K24" s="68"/>
      <c r="L24" s="180"/>
      <c r="N24" s="79"/>
    </row>
    <row r="25" spans="1:14" s="78" customFormat="1" ht="15.75" hidden="1" thickTop="1" x14ac:dyDescent="0.25">
      <c r="A25" s="177"/>
      <c r="B25" s="40"/>
      <c r="C25" s="183"/>
      <c r="D25" s="183"/>
      <c r="E25" s="183"/>
      <c r="F25" s="178"/>
      <c r="G25" s="178"/>
      <c r="H25" s="178"/>
      <c r="I25" s="178"/>
      <c r="J25" s="70"/>
      <c r="K25" s="184"/>
      <c r="L25" s="180"/>
      <c r="N25" s="79"/>
    </row>
    <row r="26" spans="1:14" s="78" customFormat="1" ht="15" hidden="1" thickTop="1" x14ac:dyDescent="0.2">
      <c r="A26" s="177"/>
      <c r="B26" s="40"/>
      <c r="C26" s="185"/>
      <c r="D26" s="185"/>
      <c r="E26" s="185"/>
      <c r="F26" s="178"/>
      <c r="G26" s="178"/>
      <c r="H26" s="178"/>
      <c r="I26" s="178"/>
      <c r="J26" s="70"/>
      <c r="K26" s="186"/>
      <c r="L26" s="180"/>
      <c r="N26" s="79"/>
    </row>
    <row r="27" spans="1:14" s="78" customFormat="1" ht="18.75" hidden="1" thickTop="1" x14ac:dyDescent="0.25">
      <c r="A27" s="58"/>
      <c r="B27" s="59"/>
      <c r="C27" s="60"/>
      <c r="D27" s="60"/>
      <c r="E27" s="60"/>
      <c r="F27" s="61"/>
      <c r="G27" s="61"/>
      <c r="H27" s="61"/>
      <c r="I27" s="61"/>
      <c r="J27" s="70"/>
      <c r="K27" s="62"/>
      <c r="L27" s="180"/>
      <c r="N27" s="79"/>
    </row>
    <row r="28" spans="1:14" s="78" customFormat="1" ht="18" x14ac:dyDescent="0.25">
      <c r="A28" s="58"/>
      <c r="B28" s="59"/>
      <c r="C28" s="60"/>
      <c r="D28" s="60"/>
      <c r="E28" s="60"/>
      <c r="F28" s="63"/>
      <c r="G28" s="63"/>
      <c r="H28" s="63"/>
      <c r="I28" s="63"/>
      <c r="J28" s="70"/>
      <c r="K28" s="62"/>
      <c r="L28" s="180"/>
      <c r="N28" s="79"/>
    </row>
    <row r="29" spans="1:14" s="78" customFormat="1" ht="12.75" x14ac:dyDescent="0.2">
      <c r="A29" s="538"/>
      <c r="B29" s="539"/>
      <c r="C29" s="539"/>
      <c r="D29" s="539"/>
      <c r="E29" s="539"/>
      <c r="F29" s="539"/>
      <c r="G29" s="64"/>
      <c r="H29" s="64"/>
      <c r="I29" s="64"/>
      <c r="J29" s="70"/>
      <c r="K29" s="65"/>
      <c r="L29" s="180"/>
      <c r="N29" s="79"/>
    </row>
    <row r="30" spans="1:14" s="78" customFormat="1" ht="12.75" x14ac:dyDescent="0.2">
      <c r="A30" s="539"/>
      <c r="B30" s="539"/>
      <c r="C30" s="539"/>
      <c r="D30" s="539"/>
      <c r="E30" s="539"/>
      <c r="F30" s="539"/>
      <c r="G30" s="64"/>
      <c r="H30" s="64"/>
      <c r="I30" s="64"/>
      <c r="J30" s="70"/>
      <c r="K30" s="65"/>
      <c r="L30" s="180"/>
      <c r="N30" s="79"/>
    </row>
    <row r="31" spans="1:14" s="78" customFormat="1" hidden="1" x14ac:dyDescent="0.2">
      <c r="A31" s="177"/>
      <c r="B31" s="40"/>
      <c r="C31" s="178"/>
      <c r="D31" s="178"/>
      <c r="E31" s="178"/>
      <c r="F31" s="178"/>
      <c r="G31" s="178"/>
      <c r="H31" s="178"/>
      <c r="I31" s="178"/>
      <c r="J31" s="70"/>
      <c r="K31" s="68"/>
      <c r="L31" s="43"/>
      <c r="N31" s="79"/>
    </row>
    <row r="32" spans="1:14" s="78" customFormat="1" hidden="1" x14ac:dyDescent="0.2">
      <c r="A32" s="49"/>
      <c r="B32" s="40"/>
      <c r="C32" s="178"/>
      <c r="D32" s="178"/>
      <c r="E32" s="178"/>
      <c r="F32" s="178"/>
      <c r="G32" s="178"/>
      <c r="H32" s="178"/>
      <c r="I32" s="178"/>
      <c r="J32" s="70"/>
      <c r="K32" s="68"/>
      <c r="N32" s="79"/>
    </row>
    <row r="33" spans="1:14" s="78" customFormat="1" hidden="1" x14ac:dyDescent="0.2">
      <c r="A33" s="28"/>
      <c r="B33" s="40"/>
      <c r="C33" s="178"/>
      <c r="D33" s="178"/>
      <c r="E33" s="178"/>
      <c r="F33" s="178"/>
      <c r="G33" s="178"/>
      <c r="H33" s="178"/>
      <c r="I33" s="178"/>
      <c r="J33" s="70"/>
      <c r="K33" s="68"/>
      <c r="N33" s="79"/>
    </row>
    <row r="34" spans="1:14" s="78" customFormat="1" hidden="1" x14ac:dyDescent="0.2">
      <c r="A34" s="34"/>
      <c r="B34" s="40"/>
      <c r="C34" s="178"/>
      <c r="D34" s="178"/>
      <c r="E34" s="178"/>
      <c r="F34" s="178"/>
      <c r="G34" s="178"/>
      <c r="H34" s="178"/>
      <c r="I34" s="178"/>
      <c r="J34" s="70"/>
      <c r="K34" s="68"/>
      <c r="N34" s="79"/>
    </row>
    <row r="35" spans="1:14" s="78" customFormat="1" hidden="1" x14ac:dyDescent="0.2">
      <c r="A35" s="50"/>
      <c r="B35" s="40"/>
      <c r="C35" s="178"/>
      <c r="D35" s="178"/>
      <c r="E35" s="178"/>
      <c r="F35" s="178"/>
      <c r="G35" s="178"/>
      <c r="H35" s="178"/>
      <c r="I35" s="178"/>
      <c r="J35" s="70"/>
      <c r="K35" s="68"/>
      <c r="N35" s="79"/>
    </row>
    <row r="36" spans="1:14" s="78" customFormat="1" hidden="1" x14ac:dyDescent="0.2">
      <c r="A36" s="51"/>
      <c r="B36" s="40"/>
      <c r="C36" s="178"/>
      <c r="D36" s="178"/>
      <c r="E36" s="178"/>
      <c r="F36" s="178"/>
      <c r="G36" s="178"/>
      <c r="H36" s="178"/>
      <c r="I36" s="178"/>
      <c r="J36" s="70"/>
      <c r="K36" s="68"/>
      <c r="N36" s="79"/>
    </row>
    <row r="37" spans="1:14" s="78" customFormat="1" hidden="1" x14ac:dyDescent="0.2">
      <c r="A37" s="49"/>
      <c r="B37" s="40"/>
      <c r="C37" s="178"/>
      <c r="D37" s="178"/>
      <c r="E37" s="178"/>
      <c r="F37" s="178"/>
      <c r="G37" s="178"/>
      <c r="H37" s="178"/>
      <c r="I37" s="178"/>
      <c r="J37" s="70"/>
      <c r="K37" s="68"/>
      <c r="N37" s="79"/>
    </row>
    <row r="38" spans="1:14" s="78" customFormat="1" hidden="1" x14ac:dyDescent="0.2">
      <c r="A38" s="28"/>
      <c r="B38" s="40"/>
      <c r="C38" s="178"/>
      <c r="D38" s="178"/>
      <c r="E38" s="178"/>
      <c r="F38" s="178"/>
      <c r="G38" s="178"/>
      <c r="H38" s="178"/>
      <c r="I38" s="178"/>
      <c r="J38" s="70"/>
      <c r="K38" s="68"/>
      <c r="N38" s="79"/>
    </row>
    <row r="39" spans="1:14" s="78" customFormat="1" hidden="1" x14ac:dyDescent="0.2">
      <c r="A39" s="50"/>
      <c r="B39" s="40"/>
      <c r="C39" s="178"/>
      <c r="D39" s="178"/>
      <c r="E39" s="178"/>
      <c r="F39" s="178"/>
      <c r="G39" s="178"/>
      <c r="H39" s="178"/>
      <c r="I39" s="178"/>
      <c r="J39" s="70"/>
      <c r="K39" s="68"/>
      <c r="N39" s="79"/>
    </row>
    <row r="40" spans="1:14" s="78" customFormat="1" hidden="1" x14ac:dyDescent="0.2">
      <c r="A40" s="38"/>
      <c r="B40" s="40"/>
      <c r="C40" s="178"/>
      <c r="D40" s="178"/>
      <c r="E40" s="178"/>
      <c r="F40" s="178"/>
      <c r="G40" s="178"/>
      <c r="H40" s="178"/>
      <c r="I40" s="178"/>
      <c r="J40" s="70"/>
      <c r="K40" s="68"/>
      <c r="N40" s="79"/>
    </row>
    <row r="41" spans="1:14" s="78" customFormat="1" hidden="1" x14ac:dyDescent="0.2">
      <c r="A41" s="177"/>
      <c r="B41" s="40"/>
      <c r="C41" s="178"/>
      <c r="D41" s="178"/>
      <c r="E41" s="178"/>
      <c r="F41" s="178"/>
      <c r="G41" s="178"/>
      <c r="H41" s="178"/>
      <c r="I41" s="178"/>
      <c r="J41" s="70"/>
      <c r="K41" s="68"/>
      <c r="N41" s="79"/>
    </row>
    <row r="42" spans="1:14" s="78" customFormat="1" hidden="1" x14ac:dyDescent="0.2">
      <c r="A42" s="177"/>
      <c r="B42" s="40"/>
      <c r="C42" s="178"/>
      <c r="D42" s="178"/>
      <c r="E42" s="178"/>
      <c r="F42" s="178"/>
      <c r="G42" s="178"/>
      <c r="H42" s="178"/>
      <c r="I42" s="178"/>
      <c r="J42" s="70"/>
      <c r="K42" s="68"/>
      <c r="N42" s="79"/>
    </row>
    <row r="43" spans="1:14" s="78" customFormat="1" x14ac:dyDescent="0.2">
      <c r="A43" s="177"/>
      <c r="B43" s="40"/>
      <c r="C43" s="178"/>
      <c r="D43" s="178"/>
      <c r="E43" s="178"/>
      <c r="F43" s="178"/>
      <c r="G43" s="178"/>
      <c r="H43" s="178"/>
      <c r="I43" s="178"/>
      <c r="J43" s="70"/>
      <c r="K43" s="68"/>
      <c r="N43" s="79"/>
    </row>
    <row r="44" spans="1:14" s="78" customFormat="1" ht="15" x14ac:dyDescent="0.25">
      <c r="A44" s="201"/>
      <c r="B44" s="40"/>
      <c r="C44" s="178"/>
      <c r="D44" s="178"/>
      <c r="E44" s="178"/>
      <c r="F44" s="187"/>
      <c r="G44" s="178"/>
      <c r="H44" s="178"/>
      <c r="I44" s="178"/>
      <c r="J44" s="70"/>
      <c r="K44" s="68"/>
      <c r="N44" s="79"/>
    </row>
    <row r="45" spans="1:14" s="188" customFormat="1" ht="12.75" x14ac:dyDescent="0.2">
      <c r="A45" s="202"/>
      <c r="B45" s="203"/>
      <c r="C45" s="204"/>
      <c r="D45" s="204"/>
      <c r="E45" s="204"/>
      <c r="F45" s="205"/>
      <c r="G45" s="24"/>
      <c r="H45" s="24"/>
      <c r="I45" s="24"/>
      <c r="J45" s="175"/>
      <c r="K45" s="66"/>
      <c r="N45" s="189"/>
    </row>
    <row r="46" spans="1:14" s="188" customFormat="1" ht="12.75" x14ac:dyDescent="0.2">
      <c r="A46" s="206"/>
      <c r="B46" s="207"/>
      <c r="C46" s="207"/>
      <c r="D46" s="207"/>
      <c r="E46" s="207"/>
      <c r="F46" s="205"/>
      <c r="G46" s="24"/>
      <c r="H46" s="24"/>
      <c r="I46" s="24"/>
      <c r="J46" s="73"/>
      <c r="K46" s="66"/>
      <c r="N46" s="189"/>
    </row>
    <row r="47" spans="1:14" s="78" customFormat="1" x14ac:dyDescent="0.2">
      <c r="A47" s="177"/>
      <c r="B47" s="40"/>
      <c r="C47" s="178"/>
      <c r="D47" s="88"/>
      <c r="E47" s="88"/>
      <c r="F47" s="208"/>
      <c r="H47" s="180"/>
      <c r="I47" s="180"/>
      <c r="J47" s="180"/>
      <c r="K47" s="68"/>
      <c r="N47" s="79"/>
    </row>
    <row r="48" spans="1:14" s="78" customFormat="1" x14ac:dyDescent="0.2">
      <c r="A48" s="540"/>
      <c r="B48" s="40"/>
      <c r="C48" s="88"/>
      <c r="D48" s="168"/>
      <c r="E48" s="88"/>
      <c r="F48" s="208"/>
      <c r="H48" s="190"/>
      <c r="I48" s="190"/>
      <c r="J48" s="190"/>
      <c r="K48" s="68"/>
      <c r="N48" s="79"/>
    </row>
    <row r="49" spans="1:14" s="78" customFormat="1" x14ac:dyDescent="0.2">
      <c r="A49" s="540"/>
      <c r="B49" s="40"/>
      <c r="C49" s="88"/>
      <c r="D49" s="88"/>
      <c r="E49" s="88"/>
      <c r="F49" s="208"/>
      <c r="H49" s="191"/>
      <c r="I49" s="178"/>
      <c r="J49" s="41"/>
      <c r="K49" s="55"/>
      <c r="N49" s="79"/>
    </row>
    <row r="50" spans="1:14" s="78" customFormat="1" x14ac:dyDescent="0.2">
      <c r="A50" s="209"/>
      <c r="B50" s="40"/>
      <c r="C50" s="88"/>
      <c r="D50" s="168"/>
      <c r="E50" s="88"/>
      <c r="F50" s="208"/>
      <c r="I50" s="192"/>
      <c r="J50" s="192"/>
      <c r="K50" s="68"/>
      <c r="N50" s="79"/>
    </row>
    <row r="51" spans="1:14" s="78" customFormat="1" x14ac:dyDescent="0.2">
      <c r="A51" s="210"/>
      <c r="B51" s="40"/>
      <c r="C51" s="88"/>
      <c r="D51" s="168"/>
      <c r="E51" s="88"/>
      <c r="F51" s="208"/>
      <c r="I51" s="178"/>
      <c r="J51" s="193"/>
      <c r="K51" s="68"/>
      <c r="N51" s="79"/>
    </row>
    <row r="52" spans="1:14" s="78" customFormat="1" x14ac:dyDescent="0.2">
      <c r="A52" s="211"/>
      <c r="B52" s="40"/>
      <c r="C52" s="88"/>
      <c r="D52" s="168"/>
      <c r="E52" s="88"/>
      <c r="F52" s="208"/>
      <c r="I52" s="178"/>
      <c r="J52" s="193"/>
      <c r="K52" s="68"/>
      <c r="N52" s="79"/>
    </row>
    <row r="53" spans="1:14" s="78" customFormat="1" ht="15" x14ac:dyDescent="0.25">
      <c r="A53" s="201"/>
      <c r="B53" s="40"/>
      <c r="C53" s="181"/>
      <c r="D53" s="181"/>
      <c r="E53" s="181"/>
      <c r="F53" s="197"/>
      <c r="H53" s="180"/>
      <c r="I53" s="178"/>
      <c r="J53" s="193"/>
      <c r="K53" s="68"/>
      <c r="N53" s="79"/>
    </row>
    <row r="54" spans="1:14" s="78" customFormat="1" x14ac:dyDescent="0.2">
      <c r="A54" s="177"/>
      <c r="B54" s="40"/>
      <c r="C54" s="178"/>
      <c r="D54" s="168"/>
      <c r="E54" s="168"/>
      <c r="F54" s="178"/>
      <c r="G54" s="178"/>
      <c r="H54" s="178"/>
      <c r="I54" s="178"/>
      <c r="J54" s="193"/>
      <c r="K54" s="68"/>
      <c r="N54" s="79"/>
    </row>
    <row r="55" spans="1:14" s="78" customFormat="1" x14ac:dyDescent="0.2">
      <c r="A55" s="177"/>
      <c r="B55" s="40"/>
      <c r="C55" s="178"/>
      <c r="D55" s="178"/>
      <c r="E55" s="178"/>
      <c r="F55" s="178"/>
      <c r="G55" s="178"/>
      <c r="H55" s="178"/>
      <c r="I55" s="178"/>
      <c r="J55" s="193"/>
      <c r="K55" s="68"/>
      <c r="N55" s="79"/>
    </row>
    <row r="56" spans="1:14" s="78" customFormat="1" x14ac:dyDescent="0.2">
      <c r="A56" s="177"/>
      <c r="B56" s="40"/>
      <c r="C56" s="178"/>
      <c r="D56" s="178"/>
      <c r="E56" s="178"/>
      <c r="F56" s="178"/>
      <c r="G56" s="178"/>
      <c r="H56" s="178"/>
      <c r="I56" s="178"/>
      <c r="J56" s="193"/>
      <c r="K56" s="68"/>
      <c r="N56" s="79"/>
    </row>
    <row r="57" spans="1:14" s="78" customFormat="1" x14ac:dyDescent="0.2">
      <c r="A57" s="177"/>
      <c r="B57" s="40"/>
      <c r="C57" s="178"/>
      <c r="D57" s="178"/>
      <c r="E57" s="178"/>
      <c r="F57" s="178"/>
      <c r="G57" s="178"/>
      <c r="H57" s="178"/>
      <c r="I57" s="178"/>
      <c r="J57" s="193"/>
      <c r="K57" s="68"/>
      <c r="N57" s="79"/>
    </row>
    <row r="58" spans="1:14" s="78" customFormat="1" x14ac:dyDescent="0.2">
      <c r="A58" s="177"/>
      <c r="B58" s="40"/>
      <c r="C58" s="178"/>
      <c r="D58" s="178"/>
      <c r="E58" s="178"/>
      <c r="F58" s="178"/>
      <c r="G58" s="178"/>
      <c r="H58" s="178"/>
      <c r="I58" s="178"/>
      <c r="J58" s="193"/>
      <c r="K58" s="68"/>
      <c r="N58" s="79"/>
    </row>
    <row r="59" spans="1:14" s="78" customFormat="1" x14ac:dyDescent="0.2">
      <c r="A59" s="177"/>
      <c r="B59" s="40"/>
      <c r="C59" s="178"/>
      <c r="D59" s="178"/>
      <c r="E59" s="178"/>
      <c r="F59" s="178"/>
      <c r="G59" s="178"/>
      <c r="H59" s="178"/>
      <c r="I59" s="178"/>
      <c r="J59" s="193"/>
      <c r="K59" s="68"/>
      <c r="N59" s="79"/>
    </row>
    <row r="60" spans="1:14" s="78" customFormat="1" x14ac:dyDescent="0.2">
      <c r="A60" s="177"/>
      <c r="B60" s="40"/>
      <c r="C60" s="178"/>
      <c r="D60" s="178"/>
      <c r="E60" s="178"/>
      <c r="F60" s="178"/>
      <c r="G60" s="178"/>
      <c r="H60" s="178"/>
      <c r="I60" s="178"/>
      <c r="J60" s="193"/>
      <c r="K60" s="68"/>
      <c r="N60" s="79"/>
    </row>
    <row r="61" spans="1:14" s="78" customFormat="1" x14ac:dyDescent="0.2">
      <c r="A61" s="177"/>
      <c r="B61" s="40"/>
      <c r="C61" s="178"/>
      <c r="D61" s="178"/>
      <c r="E61" s="178"/>
      <c r="F61" s="178"/>
      <c r="G61" s="178"/>
      <c r="H61" s="178"/>
      <c r="I61" s="178"/>
      <c r="J61" s="193"/>
      <c r="K61" s="68"/>
      <c r="N61" s="79"/>
    </row>
    <row r="62" spans="1:14" s="78" customFormat="1" x14ac:dyDescent="0.2">
      <c r="A62" s="177"/>
      <c r="B62" s="40"/>
      <c r="C62" s="178"/>
      <c r="D62" s="178"/>
      <c r="E62" s="178"/>
      <c r="F62" s="178"/>
      <c r="G62" s="178"/>
      <c r="H62" s="178"/>
      <c r="I62" s="178"/>
      <c r="J62" s="193"/>
      <c r="K62" s="68"/>
      <c r="N62" s="79"/>
    </row>
  </sheetData>
  <mergeCells count="3">
    <mergeCell ref="A1:F1"/>
    <mergeCell ref="A29:F30"/>
    <mergeCell ref="A48:A49"/>
  </mergeCells>
  <pageMargins left="0.78740157480314965" right="0.78740157480314965" top="0.78740157480314965" bottom="0.78740157480314965" header="0.51181102362204722" footer="0.51181102362204722"/>
  <pageSetup paperSize="9" scale="85" firstPageNumber="3" orientation="portrait" useFirstPageNumber="1" r:id="rId1"/>
  <headerFooter alignWithMargins="0">
    <oddHeader>&amp;C&amp;"Arial CE,Kurzíva"Příloha č. 2 - Plnění rozpočtu výdajů Olomouckého kraje k 30.09. 2012</oddHeader>
    <oddFooter xml:space="preserve">&amp;L&amp;"Arial,Kurzíva"Rada Olomouckého kraje 23-10-2012
x.x.-Rozpočet Olomouckého kraje 2012-plnění rozpočtu k 30. 09. 2012
Příloha č.2-Plnění rozpočtu výdajů Olomouckého kraje k 30. 09. 2012&amp;R&amp;"Arial,Kurzíva"Strana &amp;P (Celkem 6)
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35"/>
  <sheetViews>
    <sheetView workbookViewId="0">
      <selection activeCell="B4" sqref="B4"/>
    </sheetView>
  </sheetViews>
  <sheetFormatPr defaultRowHeight="12.75" x14ac:dyDescent="0.2"/>
  <cols>
    <col min="1" max="1" width="17.42578125" customWidth="1"/>
    <col min="2" max="2" width="19.42578125" customWidth="1"/>
    <col min="3" max="3" width="19.85546875" customWidth="1"/>
  </cols>
  <sheetData>
    <row r="3" spans="1:3" x14ac:dyDescent="0.2">
      <c r="A3" s="102"/>
      <c r="B3" s="102" t="s">
        <v>35</v>
      </c>
      <c r="C3" s="102" t="s">
        <v>36</v>
      </c>
    </row>
    <row r="4" spans="1:3" x14ac:dyDescent="0.2">
      <c r="A4" s="102" t="s">
        <v>11</v>
      </c>
      <c r="B4" s="102">
        <f>'Rekapitulace OK - příloha č. 2'!E7</f>
        <v>5856392</v>
      </c>
      <c r="C4" s="102">
        <f>'Rekapitulace OK - příloha č. 2'!E8</f>
        <v>5956051</v>
      </c>
    </row>
    <row r="5" spans="1:3" x14ac:dyDescent="0.2">
      <c r="A5" s="102" t="s">
        <v>12</v>
      </c>
      <c r="B5" s="102">
        <f>'Rekapitulace OK - příloha č. 2'!F7</f>
        <v>19338054</v>
      </c>
      <c r="C5" s="102">
        <f>'Rekapitulace OK - příloha č. 2'!F8</f>
        <v>19840824</v>
      </c>
    </row>
    <row r="6" spans="1:3" x14ac:dyDescent="0.2">
      <c r="A6" s="102" t="s">
        <v>4</v>
      </c>
      <c r="B6" s="102">
        <f>'Rekapitulace OK - příloha č. 2'!G7</f>
        <v>12835191</v>
      </c>
      <c r="C6" s="102">
        <f>'Rekapitulace OK - příloha č. 2'!G8</f>
        <v>10651655</v>
      </c>
    </row>
    <row r="32" spans="1:3" x14ac:dyDescent="0.2">
      <c r="A32" s="102"/>
      <c r="B32" s="102" t="s">
        <v>41</v>
      </c>
      <c r="C32" s="102" t="s">
        <v>42</v>
      </c>
    </row>
    <row r="33" spans="1:3" x14ac:dyDescent="0.2">
      <c r="A33" s="102" t="s">
        <v>11</v>
      </c>
      <c r="B33" s="102" t="e">
        <f>'Příjmy OK - příloha č. 2'!#REF!</f>
        <v>#REF!</v>
      </c>
      <c r="C33" s="102" t="e">
        <f>'Výdaje OK - příloha č. 2'!#REF!</f>
        <v>#REF!</v>
      </c>
    </row>
    <row r="34" spans="1:3" x14ac:dyDescent="0.2">
      <c r="A34" s="102" t="s">
        <v>12</v>
      </c>
      <c r="B34" s="102" t="e">
        <f>'Příjmy OK - příloha č. 2'!#REF!</f>
        <v>#REF!</v>
      </c>
      <c r="C34" s="102" t="e">
        <f>'Výdaje OK - příloha č. 2'!#REF!</f>
        <v>#REF!</v>
      </c>
    </row>
    <row r="35" spans="1:3" x14ac:dyDescent="0.2">
      <c r="A35" s="102" t="s">
        <v>4</v>
      </c>
      <c r="B35" s="102" t="e">
        <f>'Příjmy OK - příloha č. 2'!#REF!</f>
        <v>#REF!</v>
      </c>
      <c r="C35" s="102" t="e">
        <f>'Výdaje OK - příloha č. 2'!#REF!</f>
        <v>#REF!</v>
      </c>
    </row>
  </sheetData>
  <phoneticPr fontId="5" type="noConversion"/>
  <pageMargins left="0.78740157499999996" right="0.78740157499999996" top="0.984251969" bottom="0.984251969" header="0.4921259845" footer="0.4921259845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0"/>
  <sheetViews>
    <sheetView workbookViewId="0">
      <selection activeCell="A39" sqref="A39"/>
    </sheetView>
  </sheetViews>
  <sheetFormatPr defaultRowHeight="12.75" x14ac:dyDescent="0.2"/>
  <cols>
    <col min="3" max="3" width="19.7109375" customWidth="1"/>
    <col min="4" max="4" width="12.7109375" bestFit="1" customWidth="1"/>
    <col min="5" max="5" width="14.85546875" bestFit="1" customWidth="1"/>
    <col min="6" max="6" width="12.7109375" bestFit="1" customWidth="1"/>
    <col min="7" max="7" width="13.85546875" bestFit="1" customWidth="1"/>
  </cols>
  <sheetData>
    <row r="2" spans="1:6" x14ac:dyDescent="0.2">
      <c r="C2" s="136">
        <v>8115</v>
      </c>
    </row>
    <row r="3" spans="1:6" x14ac:dyDescent="0.2">
      <c r="C3" s="133">
        <f>D3+D4+D5</f>
        <v>161414000</v>
      </c>
      <c r="D3" s="130">
        <v>41142000</v>
      </c>
      <c r="E3" t="s">
        <v>56</v>
      </c>
      <c r="F3" t="s">
        <v>60</v>
      </c>
    </row>
    <row r="4" spans="1:6" x14ac:dyDescent="0.2">
      <c r="C4" s="130"/>
      <c r="D4" s="130">
        <v>97035000</v>
      </c>
      <c r="E4" t="s">
        <v>57</v>
      </c>
      <c r="F4" t="s">
        <v>60</v>
      </c>
    </row>
    <row r="5" spans="1:6" x14ac:dyDescent="0.2">
      <c r="C5" s="130"/>
      <c r="D5" s="130">
        <v>23237000</v>
      </c>
      <c r="E5" t="s">
        <v>58</v>
      </c>
      <c r="F5" t="s">
        <v>60</v>
      </c>
    </row>
    <row r="6" spans="1:6" x14ac:dyDescent="0.2">
      <c r="C6" s="130"/>
    </row>
    <row r="8" spans="1:6" x14ac:dyDescent="0.2">
      <c r="A8" s="134" t="s">
        <v>45</v>
      </c>
      <c r="B8" s="134" t="s">
        <v>10</v>
      </c>
      <c r="C8" s="135">
        <v>8115</v>
      </c>
      <c r="D8" s="134" t="s">
        <v>46</v>
      </c>
      <c r="E8" s="134" t="s">
        <v>47</v>
      </c>
    </row>
    <row r="9" spans="1:6" x14ac:dyDescent="0.2">
      <c r="A9" s="131" t="s">
        <v>59</v>
      </c>
      <c r="B9">
        <v>11</v>
      </c>
      <c r="C9" s="138">
        <v>139046.97</v>
      </c>
      <c r="E9">
        <v>71000100686</v>
      </c>
    </row>
    <row r="10" spans="1:6" x14ac:dyDescent="0.2">
      <c r="A10" s="131" t="s">
        <v>48</v>
      </c>
      <c r="B10">
        <v>58</v>
      </c>
      <c r="C10" s="138">
        <v>22919266.140000001</v>
      </c>
      <c r="E10">
        <v>71000000000</v>
      </c>
    </row>
    <row r="11" spans="1:6" x14ac:dyDescent="0.2">
      <c r="A11" s="131" t="s">
        <v>49</v>
      </c>
      <c r="B11">
        <v>63</v>
      </c>
      <c r="C11" s="138">
        <v>28596708.789999999</v>
      </c>
      <c r="E11">
        <v>71000000000</v>
      </c>
    </row>
    <row r="12" spans="1:6" x14ac:dyDescent="0.2">
      <c r="A12" s="131" t="s">
        <v>50</v>
      </c>
      <c r="B12">
        <v>68</v>
      </c>
      <c r="C12" s="138">
        <v>19248386.399999999</v>
      </c>
      <c r="E12">
        <v>71000000000</v>
      </c>
    </row>
    <row r="13" spans="1:6" x14ac:dyDescent="0.2">
      <c r="A13" s="131" t="s">
        <v>51</v>
      </c>
      <c r="B13">
        <v>53</v>
      </c>
      <c r="C13" s="138">
        <v>2849258.72</v>
      </c>
      <c r="E13">
        <v>71000000000</v>
      </c>
    </row>
    <row r="14" spans="1:6" x14ac:dyDescent="0.2">
      <c r="A14" s="131" t="s">
        <v>51</v>
      </c>
      <c r="B14">
        <v>54</v>
      </c>
      <c r="C14" s="138">
        <v>171141.26</v>
      </c>
      <c r="E14">
        <v>71000000000</v>
      </c>
    </row>
    <row r="15" spans="1:6" x14ac:dyDescent="0.2">
      <c r="A15" s="131" t="s">
        <v>51</v>
      </c>
      <c r="B15">
        <v>55</v>
      </c>
      <c r="C15" s="138">
        <v>85448.15</v>
      </c>
      <c r="E15">
        <v>71000000000</v>
      </c>
    </row>
    <row r="16" spans="1:6" x14ac:dyDescent="0.2">
      <c r="A16" s="131" t="s">
        <v>52</v>
      </c>
      <c r="B16">
        <v>56</v>
      </c>
      <c r="C16" s="138">
        <v>46667546.780000001</v>
      </c>
      <c r="E16">
        <v>71000000000</v>
      </c>
    </row>
    <row r="17" spans="1:7" x14ac:dyDescent="0.2">
      <c r="A17" s="131" t="s">
        <v>52</v>
      </c>
      <c r="B17">
        <v>57</v>
      </c>
      <c r="C17" s="138">
        <v>14942427.93</v>
      </c>
      <c r="E17">
        <v>71000000000</v>
      </c>
    </row>
    <row r="18" spans="1:7" x14ac:dyDescent="0.2">
      <c r="A18" s="131" t="s">
        <v>53</v>
      </c>
      <c r="B18">
        <v>60</v>
      </c>
      <c r="C18" s="138">
        <v>48299146.789999999</v>
      </c>
      <c r="E18">
        <v>71000000000</v>
      </c>
    </row>
    <row r="19" spans="1:7" x14ac:dyDescent="0.2">
      <c r="A19" s="131" t="s">
        <v>54</v>
      </c>
      <c r="B19">
        <v>64</v>
      </c>
      <c r="C19" s="138">
        <v>170000</v>
      </c>
      <c r="E19">
        <v>71000100493</v>
      </c>
    </row>
    <row r="20" spans="1:7" x14ac:dyDescent="0.2">
      <c r="A20" s="131" t="s">
        <v>55</v>
      </c>
      <c r="B20">
        <v>66</v>
      </c>
      <c r="C20" s="138">
        <v>42362429.25</v>
      </c>
      <c r="E20">
        <v>71000000000</v>
      </c>
    </row>
    <row r="21" spans="1:7" x14ac:dyDescent="0.2">
      <c r="A21" s="131" t="s">
        <v>55</v>
      </c>
      <c r="B21">
        <v>67</v>
      </c>
      <c r="C21" s="138">
        <v>15396049.710000001</v>
      </c>
      <c r="E21">
        <v>71000000000</v>
      </c>
    </row>
    <row r="22" spans="1:7" x14ac:dyDescent="0.2">
      <c r="A22" s="131" t="s">
        <v>61</v>
      </c>
      <c r="B22">
        <v>7</v>
      </c>
      <c r="C22" s="139">
        <v>223975684.03</v>
      </c>
      <c r="D22">
        <v>813</v>
      </c>
      <c r="E22">
        <v>71000000000</v>
      </c>
    </row>
    <row r="23" spans="1:7" x14ac:dyDescent="0.2">
      <c r="A23" s="131" t="s">
        <v>61</v>
      </c>
      <c r="B23">
        <v>7</v>
      </c>
      <c r="C23" s="138">
        <v>24976497.02</v>
      </c>
      <c r="D23">
        <v>887</v>
      </c>
      <c r="E23">
        <v>71000000000</v>
      </c>
      <c r="F23" s="137"/>
    </row>
    <row r="24" spans="1:7" x14ac:dyDescent="0.2">
      <c r="A24" s="131" t="s">
        <v>62</v>
      </c>
      <c r="B24">
        <v>64</v>
      </c>
      <c r="C24" s="138">
        <v>31424.83</v>
      </c>
      <c r="E24">
        <v>71000100070</v>
      </c>
      <c r="F24" s="137"/>
    </row>
    <row r="25" spans="1:7" x14ac:dyDescent="0.2">
      <c r="A25" s="131" t="s">
        <v>63</v>
      </c>
      <c r="B25">
        <v>71</v>
      </c>
      <c r="C25" s="138">
        <v>11000</v>
      </c>
      <c r="E25">
        <v>71000000000</v>
      </c>
      <c r="F25" s="137"/>
    </row>
    <row r="26" spans="1:7" x14ac:dyDescent="0.2">
      <c r="A26" s="131" t="s">
        <v>64</v>
      </c>
      <c r="B26">
        <v>7</v>
      </c>
      <c r="C26" s="138">
        <v>174168.18</v>
      </c>
      <c r="D26">
        <v>19</v>
      </c>
      <c r="E26">
        <v>73003000000</v>
      </c>
      <c r="F26" s="137"/>
    </row>
    <row r="27" spans="1:7" x14ac:dyDescent="0.2">
      <c r="A27" s="131" t="s">
        <v>66</v>
      </c>
      <c r="B27">
        <v>64</v>
      </c>
      <c r="C27" s="138">
        <v>1793591.61</v>
      </c>
      <c r="E27">
        <v>71000100493</v>
      </c>
      <c r="F27" s="137"/>
    </row>
    <row r="28" spans="1:7" x14ac:dyDescent="0.2">
      <c r="A28" s="131" t="s">
        <v>67</v>
      </c>
      <c r="B28">
        <v>64</v>
      </c>
      <c r="C28" s="138">
        <v>1433086.82</v>
      </c>
      <c r="E28">
        <v>71000100580</v>
      </c>
      <c r="F28" s="137"/>
    </row>
    <row r="29" spans="1:7" x14ac:dyDescent="0.2">
      <c r="A29" s="131" t="s">
        <v>68</v>
      </c>
      <c r="B29">
        <v>7</v>
      </c>
      <c r="C29" s="138">
        <v>8028426</v>
      </c>
      <c r="E29">
        <v>71000000000</v>
      </c>
      <c r="F29" s="137"/>
    </row>
    <row r="30" spans="1:7" x14ac:dyDescent="0.2">
      <c r="A30" s="131" t="s">
        <v>65</v>
      </c>
      <c r="B30">
        <v>7</v>
      </c>
      <c r="C30" s="138">
        <v>8511507.6600000001</v>
      </c>
      <c r="E30">
        <v>71000000000</v>
      </c>
      <c r="F30" s="138" t="s">
        <v>71</v>
      </c>
      <c r="G30" s="130">
        <f>SUM(C9:C30)</f>
        <v>510782243.04000002</v>
      </c>
    </row>
    <row r="31" spans="1:7" x14ac:dyDescent="0.2">
      <c r="A31" s="131" t="s">
        <v>69</v>
      </c>
      <c r="B31">
        <v>7</v>
      </c>
      <c r="C31" s="138">
        <v>62860</v>
      </c>
      <c r="D31">
        <v>19</v>
      </c>
      <c r="E31">
        <v>73001000000</v>
      </c>
      <c r="F31" s="130"/>
      <c r="G31" s="130"/>
    </row>
    <row r="32" spans="1:7" x14ac:dyDescent="0.2">
      <c r="A32" s="132" t="s">
        <v>70</v>
      </c>
      <c r="B32">
        <v>10</v>
      </c>
      <c r="C32" s="138">
        <v>11618</v>
      </c>
      <c r="D32">
        <v>19</v>
      </c>
      <c r="E32">
        <v>71000000000</v>
      </c>
      <c r="F32" s="133"/>
      <c r="G32" s="130"/>
    </row>
    <row r="33" spans="1:7" x14ac:dyDescent="0.2">
      <c r="A33" s="132" t="s">
        <v>70</v>
      </c>
      <c r="B33">
        <v>10</v>
      </c>
      <c r="C33" s="138">
        <v>14430.49</v>
      </c>
      <c r="D33">
        <v>19</v>
      </c>
      <c r="E33">
        <v>71000000000</v>
      </c>
      <c r="F33" s="130" t="s">
        <v>72</v>
      </c>
      <c r="G33" s="130">
        <f>SUM(C31:C33)</f>
        <v>88908.49</v>
      </c>
    </row>
    <row r="34" spans="1:7" x14ac:dyDescent="0.2">
      <c r="A34" s="132" t="s">
        <v>78</v>
      </c>
      <c r="B34">
        <v>7</v>
      </c>
      <c r="C34" s="138">
        <v>1716423.13</v>
      </c>
      <c r="D34">
        <v>19</v>
      </c>
      <c r="E34">
        <v>73000000000</v>
      </c>
      <c r="F34" s="130" t="s">
        <v>75</v>
      </c>
      <c r="G34" s="130">
        <f>C34</f>
        <v>1716423.13</v>
      </c>
    </row>
    <row r="35" spans="1:7" x14ac:dyDescent="0.2">
      <c r="A35" s="132" t="s">
        <v>79</v>
      </c>
      <c r="B35">
        <v>99</v>
      </c>
      <c r="C35" s="138">
        <v>25196737.460000001</v>
      </c>
      <c r="E35">
        <v>71000000000</v>
      </c>
      <c r="F35" s="130"/>
      <c r="G35" s="130"/>
    </row>
    <row r="36" spans="1:7" x14ac:dyDescent="0.2">
      <c r="A36" s="132" t="s">
        <v>80</v>
      </c>
      <c r="B36">
        <v>7</v>
      </c>
      <c r="C36" s="138">
        <v>168935624.75</v>
      </c>
      <c r="D36">
        <v>24</v>
      </c>
      <c r="E36">
        <v>71000000000</v>
      </c>
      <c r="F36" s="130"/>
      <c r="G36" s="130"/>
    </row>
    <row r="37" spans="1:7" x14ac:dyDescent="0.2">
      <c r="A37" s="132" t="s">
        <v>80</v>
      </c>
      <c r="B37">
        <v>7</v>
      </c>
      <c r="C37" s="138">
        <v>19089.3</v>
      </c>
      <c r="D37">
        <v>25</v>
      </c>
      <c r="E37">
        <v>71000000000</v>
      </c>
      <c r="F37" s="130" t="s">
        <v>76</v>
      </c>
      <c r="G37" s="130">
        <f>C35+C36+C37</f>
        <v>194151451.51000002</v>
      </c>
    </row>
    <row r="38" spans="1:7" x14ac:dyDescent="0.2">
      <c r="A38" s="132" t="s">
        <v>81</v>
      </c>
      <c r="B38">
        <v>199</v>
      </c>
      <c r="C38" s="138">
        <v>771707.14</v>
      </c>
      <c r="E38">
        <v>71000000000</v>
      </c>
      <c r="F38" s="130" t="s">
        <v>77</v>
      </c>
      <c r="G38" s="130">
        <f>C38</f>
        <v>771707.14</v>
      </c>
    </row>
    <row r="39" spans="1:7" x14ac:dyDescent="0.2">
      <c r="A39" s="132"/>
      <c r="C39" s="138"/>
      <c r="F39" s="130"/>
      <c r="G39" s="130"/>
    </row>
    <row r="40" spans="1:7" x14ac:dyDescent="0.2">
      <c r="A40" s="132"/>
      <c r="C40" s="138"/>
      <c r="F40" s="130"/>
      <c r="G40" s="130"/>
    </row>
    <row r="41" spans="1:7" x14ac:dyDescent="0.2">
      <c r="A41" s="132"/>
      <c r="C41" s="138"/>
      <c r="F41" s="130"/>
      <c r="G41" s="130"/>
    </row>
    <row r="42" spans="1:7" x14ac:dyDescent="0.2">
      <c r="A42" s="132"/>
      <c r="C42" s="138"/>
      <c r="F42" s="130"/>
      <c r="G42" s="130"/>
    </row>
    <row r="43" spans="1:7" x14ac:dyDescent="0.2">
      <c r="A43" s="132"/>
      <c r="C43" s="138"/>
      <c r="F43" s="130"/>
      <c r="G43" s="130"/>
    </row>
    <row r="44" spans="1:7" x14ac:dyDescent="0.2">
      <c r="A44" s="132"/>
      <c r="C44" s="138">
        <f>G30+G33+G34+G37+G38</f>
        <v>707510733.31000006</v>
      </c>
      <c r="F44" s="130"/>
      <c r="G44" s="130"/>
    </row>
    <row r="45" spans="1:7" x14ac:dyDescent="0.2">
      <c r="A45" s="132"/>
      <c r="C45" s="138"/>
      <c r="F45" s="130"/>
      <c r="G45" s="130"/>
    </row>
    <row r="46" spans="1:7" x14ac:dyDescent="0.2">
      <c r="A46" s="132"/>
      <c r="C46" s="130"/>
      <c r="F46" s="130"/>
      <c r="G46" s="130"/>
    </row>
    <row r="47" spans="1:7" x14ac:dyDescent="0.2">
      <c r="A47" s="132"/>
      <c r="C47" s="130"/>
      <c r="F47" s="130"/>
      <c r="G47" s="130"/>
    </row>
    <row r="48" spans="1:7" x14ac:dyDescent="0.2">
      <c r="A48" s="129"/>
      <c r="C48" s="133">
        <f>C3+C44</f>
        <v>868924733.31000006</v>
      </c>
      <c r="G48" s="130"/>
    </row>
    <row r="49" spans="3:7" x14ac:dyDescent="0.2">
      <c r="C49" s="130"/>
      <c r="G49" s="130"/>
    </row>
    <row r="50" spans="3:7" x14ac:dyDescent="0.2">
      <c r="G50" s="130"/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1"/>
  </sheetPr>
  <dimension ref="A1:U44"/>
  <sheetViews>
    <sheetView showGridLines="0" view="pageLayout" zoomScaleNormal="100" workbookViewId="0">
      <selection activeCell="D4" sqref="D4"/>
    </sheetView>
  </sheetViews>
  <sheetFormatPr defaultRowHeight="12.75" x14ac:dyDescent="0.2"/>
  <cols>
    <col min="4" max="4" width="31.42578125" customWidth="1"/>
    <col min="5" max="5" width="15.28515625" customWidth="1"/>
    <col min="6" max="6" width="15.140625" customWidth="1"/>
    <col min="7" max="7" width="15" customWidth="1"/>
    <col min="8" max="8" width="6.28515625" customWidth="1"/>
  </cols>
  <sheetData>
    <row r="1" spans="1:21" ht="20.25" x14ac:dyDescent="0.3">
      <c r="A1" s="90" t="s">
        <v>82</v>
      </c>
      <c r="B1" s="91"/>
      <c r="C1" s="91"/>
      <c r="D1" s="91"/>
      <c r="E1" s="92"/>
      <c r="F1" s="92"/>
      <c r="G1" s="92"/>
      <c r="H1" s="92"/>
    </row>
    <row r="2" spans="1:21" s="93" customFormat="1" ht="15.75" x14ac:dyDescent="0.25">
      <c r="A2" s="94"/>
      <c r="B2" s="91"/>
      <c r="C2" s="91"/>
      <c r="D2" s="91"/>
      <c r="E2" s="92"/>
      <c r="F2" s="92"/>
      <c r="G2" s="92"/>
      <c r="H2" s="92"/>
    </row>
    <row r="3" spans="1:21" s="93" customFormat="1" ht="14.25" customHeight="1" x14ac:dyDescent="0.25">
      <c r="A3" s="95" t="s">
        <v>31</v>
      </c>
      <c r="B3" s="91"/>
      <c r="C3" s="91"/>
      <c r="D3" s="91"/>
      <c r="E3" s="92"/>
      <c r="F3" s="92"/>
      <c r="G3" s="92"/>
      <c r="H3" s="4"/>
    </row>
    <row r="4" spans="1:21" s="93" customFormat="1" ht="14.25" customHeight="1" thickBot="1" x14ac:dyDescent="0.3">
      <c r="A4" s="95"/>
      <c r="B4" s="91"/>
      <c r="C4" s="91"/>
      <c r="D4" s="91"/>
      <c r="E4" s="92"/>
      <c r="F4" s="92"/>
      <c r="G4" s="92"/>
      <c r="H4" s="165" t="s">
        <v>73</v>
      </c>
    </row>
    <row r="5" spans="1:21" s="93" customFormat="1" ht="14.25" customHeight="1" thickTop="1" thickBot="1" x14ac:dyDescent="0.25">
      <c r="A5" s="162"/>
      <c r="B5" s="163"/>
      <c r="C5" s="163"/>
      <c r="D5" s="164"/>
      <c r="E5" s="3" t="s">
        <v>2</v>
      </c>
      <c r="F5" s="3" t="s">
        <v>3</v>
      </c>
      <c r="G5" s="3" t="s">
        <v>4</v>
      </c>
      <c r="H5" s="5" t="s">
        <v>5</v>
      </c>
    </row>
    <row r="6" spans="1:21" s="93" customFormat="1" ht="14.25" customHeight="1" thickTop="1" thickBot="1" x14ac:dyDescent="0.25">
      <c r="A6" s="541">
        <v>1</v>
      </c>
      <c r="B6" s="542"/>
      <c r="C6" s="542"/>
      <c r="D6" s="543"/>
      <c r="E6" s="151">
        <v>2</v>
      </c>
      <c r="F6" s="151">
        <v>3</v>
      </c>
      <c r="G6" s="151">
        <v>4</v>
      </c>
      <c r="H6" s="152" t="s">
        <v>6</v>
      </c>
    </row>
    <row r="7" spans="1:21" s="96" customFormat="1" ht="16.5" thickTop="1" x14ac:dyDescent="0.25">
      <c r="A7" s="114" t="s">
        <v>32</v>
      </c>
      <c r="B7" s="115"/>
      <c r="C7" s="115"/>
      <c r="D7" s="140"/>
      <c r="E7" s="144" t="e">
        <f>'Příjmy OK - příloha č. 2'!#REF!</f>
        <v>#REF!</v>
      </c>
      <c r="F7" s="144" t="e">
        <f>'Příjmy OK - příloha č. 2'!#REF!</f>
        <v>#REF!</v>
      </c>
      <c r="G7" s="144" t="e">
        <f>'Příjmy OK - příloha č. 2'!#REF!</f>
        <v>#REF!</v>
      </c>
      <c r="H7" s="116" t="e">
        <f>(G7/F7)*100</f>
        <v>#REF!</v>
      </c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</row>
    <row r="8" spans="1:21" s="96" customFormat="1" ht="15" x14ac:dyDescent="0.2">
      <c r="A8" s="117" t="s">
        <v>83</v>
      </c>
      <c r="B8" s="118"/>
      <c r="C8" s="118"/>
      <c r="D8" s="141"/>
      <c r="E8" s="145"/>
      <c r="F8" s="145"/>
      <c r="G8" s="149"/>
      <c r="H8" s="119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</row>
    <row r="9" spans="1:21" s="96" customFormat="1" ht="15.75" x14ac:dyDescent="0.25">
      <c r="A9" s="120" t="s">
        <v>33</v>
      </c>
      <c r="B9" s="121"/>
      <c r="C9" s="121"/>
      <c r="D9" s="142"/>
      <c r="E9" s="146" t="e">
        <f>'Výdaje OK - příloha č. 2'!#REF!+'Výdaje OK - příloha č. 2'!#REF!</f>
        <v>#REF!</v>
      </c>
      <c r="F9" s="146" t="e">
        <f>'Výdaje OK - příloha č. 2'!#REF!+'Výdaje OK - příloha č. 2'!#REF!</f>
        <v>#REF!</v>
      </c>
      <c r="G9" s="146" t="e">
        <f>'Výdaje OK - příloha č. 2'!#REF!+'Výdaje OK - příloha č. 2'!#REF!</f>
        <v>#REF!</v>
      </c>
      <c r="H9" s="122" t="e">
        <f>(G9/F9)*100</f>
        <v>#REF!</v>
      </c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</row>
    <row r="10" spans="1:21" s="96" customFormat="1" ht="15" x14ac:dyDescent="0.2">
      <c r="A10" s="221" t="s">
        <v>84</v>
      </c>
      <c r="B10" s="121"/>
      <c r="C10" s="121"/>
      <c r="D10" s="143"/>
      <c r="E10" s="147"/>
      <c r="F10" s="148"/>
      <c r="G10" s="150"/>
      <c r="H10" s="12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</row>
    <row r="11" spans="1:21" s="96" customFormat="1" ht="21.75" customHeight="1" thickBot="1" x14ac:dyDescent="0.3">
      <c r="A11" s="97" t="s">
        <v>34</v>
      </c>
      <c r="B11" s="98"/>
      <c r="C11" s="98"/>
      <c r="D11" s="98"/>
      <c r="E11" s="99"/>
      <c r="F11" s="100"/>
      <c r="G11" s="153" t="e">
        <f>G7-G9</f>
        <v>#REF!</v>
      </c>
      <c r="H11" s="101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</row>
    <row r="12" spans="1:21" ht="13.5" thickTop="1" x14ac:dyDescent="0.2"/>
    <row r="37" spans="1:8" ht="15" x14ac:dyDescent="0.25">
      <c r="A37" s="103" t="s">
        <v>37</v>
      </c>
      <c r="B37" s="93"/>
      <c r="C37" s="93"/>
      <c r="D37" s="93"/>
      <c r="E37" s="104"/>
      <c r="F37" s="92"/>
      <c r="G37" s="92"/>
      <c r="H37" s="4"/>
    </row>
    <row r="38" spans="1:8" ht="15.75" thickBot="1" x14ac:dyDescent="0.3">
      <c r="A38" s="103"/>
      <c r="B38" s="93"/>
      <c r="C38" s="93"/>
      <c r="D38" s="93"/>
      <c r="E38" s="104"/>
      <c r="F38" s="92"/>
      <c r="G38" s="92"/>
      <c r="H38" s="165" t="s">
        <v>73</v>
      </c>
    </row>
    <row r="39" spans="1:8" s="93" customFormat="1" ht="14.25" customHeight="1" thickTop="1" thickBot="1" x14ac:dyDescent="0.25">
      <c r="A39" s="162"/>
      <c r="B39" s="163"/>
      <c r="C39" s="163"/>
      <c r="D39" s="164"/>
      <c r="E39" s="3" t="s">
        <v>2</v>
      </c>
      <c r="F39" s="3" t="s">
        <v>3</v>
      </c>
      <c r="G39" s="3" t="s">
        <v>4</v>
      </c>
      <c r="H39" s="5" t="s">
        <v>5</v>
      </c>
    </row>
    <row r="40" spans="1:8" s="93" customFormat="1" ht="14.25" customHeight="1" thickTop="1" thickBot="1" x14ac:dyDescent="0.25">
      <c r="A40" s="541">
        <v>1</v>
      </c>
      <c r="B40" s="542"/>
      <c r="C40" s="542"/>
      <c r="D40" s="543"/>
      <c r="E40" s="151">
        <v>2</v>
      </c>
      <c r="F40" s="151">
        <v>3</v>
      </c>
      <c r="G40" s="151">
        <v>4</v>
      </c>
      <c r="H40" s="152" t="s">
        <v>6</v>
      </c>
    </row>
    <row r="41" spans="1:8" ht="20.25" thickTop="1" x14ac:dyDescent="0.4">
      <c r="A41" s="105" t="s">
        <v>38</v>
      </c>
      <c r="B41" s="106"/>
      <c r="C41" s="106"/>
      <c r="D41" s="107"/>
      <c r="E41" s="154" t="e">
        <f>'Příjmy OK - příloha č. 2'!#REF!</f>
        <v>#REF!</v>
      </c>
      <c r="F41" s="154" t="e">
        <f>'Příjmy OK - příloha č. 2'!#REF!</f>
        <v>#REF!</v>
      </c>
      <c r="G41" s="154" t="e">
        <f>'Příjmy OK - příloha č. 2'!#REF!</f>
        <v>#REF!</v>
      </c>
      <c r="H41" s="157" t="e">
        <f>(G41/F41)*100</f>
        <v>#REF!</v>
      </c>
    </row>
    <row r="42" spans="1:8" ht="19.5" x14ac:dyDescent="0.4">
      <c r="A42" s="108" t="s">
        <v>39</v>
      </c>
      <c r="B42" s="109"/>
      <c r="C42" s="109"/>
      <c r="D42" s="110"/>
      <c r="E42" s="155" t="e">
        <f>'Výdaje OK - příloha č. 2'!#REF!</f>
        <v>#REF!</v>
      </c>
      <c r="F42" s="155" t="e">
        <f>'Výdaje OK - příloha č. 2'!#REF!</f>
        <v>#REF!</v>
      </c>
      <c r="G42" s="155" t="e">
        <f>'Výdaje OK - příloha č. 2'!#REF!</f>
        <v>#REF!</v>
      </c>
      <c r="H42" s="156" t="e">
        <f>(G42/F42)*100</f>
        <v>#REF!</v>
      </c>
    </row>
    <row r="43" spans="1:8" ht="25.5" customHeight="1" thickBot="1" x14ac:dyDescent="0.45">
      <c r="A43" s="173" t="s">
        <v>40</v>
      </c>
      <c r="B43" s="97"/>
      <c r="C43" s="97"/>
      <c r="D43" s="97"/>
      <c r="E43" s="97"/>
      <c r="F43" s="171"/>
      <c r="G43" s="172" t="e">
        <f>G41-G42</f>
        <v>#REF!</v>
      </c>
      <c r="H43" s="101"/>
    </row>
    <row r="44" spans="1:8" ht="13.5" thickTop="1" x14ac:dyDescent="0.2"/>
  </sheetData>
  <mergeCells count="2">
    <mergeCell ref="A6:D6"/>
    <mergeCell ref="A40:D40"/>
  </mergeCells>
  <pageMargins left="0.78740157480314965" right="0.59055118110236227" top="0.78740157480314965" bottom="0.78740157480314965" header="0.51181102362204722" footer="0.51181102362204722"/>
  <pageSetup paperSize="9" scale="80" firstPageNumber="6" orientation="portrait" useFirstPageNumber="1" r:id="rId1"/>
  <headerFooter alignWithMargins="0">
    <oddHeader>&amp;C&amp;"Arial CE,Kurzíva"Příloha č. 2 - Plnění rozpočtu výdajů Olomouckého kraje k 31. 3. 2013</oddHeader>
    <oddFooter xml:space="preserve">&amp;L&amp;"Arial CE,Kurzíva"Rada Olomouckého kraje 18-04-2013
x.x.-Rozpočet Olomouckého kraje 2013-plnění rozpočtu k 31. 3. 2013
Příloha č.2-Plnění rozpočtu výdajů Olomouckého kraje k 31. 3. 2013&amp;R&amp;"Arial CE,Kurzíva"Strana &amp;P (Celkem 6)
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7</vt:i4>
      </vt:variant>
    </vt:vector>
  </HeadingPairs>
  <TitlesOfParts>
    <vt:vector size="17" baseType="lpstr">
      <vt:lpstr>Bilance OK - příloha č.1</vt:lpstr>
      <vt:lpstr>Příjmy OK - příloha č. 2</vt:lpstr>
      <vt:lpstr>Výdaje OK - příloha č. 2</vt:lpstr>
      <vt:lpstr>Financování OK - příloha č. 2</vt:lpstr>
      <vt:lpstr>Rekapitulace OK - příloha č. 2</vt:lpstr>
      <vt:lpstr>Výdaje (2)</vt:lpstr>
      <vt:lpstr>List2</vt:lpstr>
      <vt:lpstr>8115-zap.zůst.k 31.12.2011</vt:lpstr>
      <vt:lpstr>Rekapitulace (2)</vt:lpstr>
      <vt:lpstr>List4</vt:lpstr>
      <vt:lpstr>'Bilance OK - příloha č.1'!Oblast_tisku</vt:lpstr>
      <vt:lpstr>'Financování OK - příloha č. 2'!Oblast_tisku</vt:lpstr>
      <vt:lpstr>'Příjmy OK - příloha č. 2'!Oblast_tisku</vt:lpstr>
      <vt:lpstr>'Rekapitulace (2)'!Oblast_tisku</vt:lpstr>
      <vt:lpstr>'Rekapitulace OK - příloha č. 2'!Oblast_tisku</vt:lpstr>
      <vt:lpstr>'Výdaje (2)'!Oblast_tisku</vt:lpstr>
      <vt:lpstr>'Výdaje OK - příloha č. 2'!Oblast_tisku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Alice Hradilová</dc:creator>
  <cp:lastModifiedBy>Foret Oldřich</cp:lastModifiedBy>
  <cp:lastPrinted>2021-07-21T05:56:36Z</cp:lastPrinted>
  <dcterms:created xsi:type="dcterms:W3CDTF">2010-11-26T09:05:32Z</dcterms:created>
  <dcterms:modified xsi:type="dcterms:W3CDTF">2021-08-31T08:48:52Z</dcterms:modified>
</cp:coreProperties>
</file>