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5180" windowHeight="10395"/>
  </bookViews>
  <sheets>
    <sheet name="rekapitulace" sheetId="7" r:id="rId1"/>
    <sheet name="8a. EIB - Evropské programy" sheetId="4" r:id="rId2"/>
    <sheet name="8b. KB 2013" sheetId="1" r:id="rId3"/>
    <sheet name="8c. OK 2013" sheetId="8" r:id="rId4"/>
    <sheet name="d) dotace" sheetId="10" r:id="rId5"/>
  </sheets>
  <definedNames>
    <definedName name="_xlnm.Print_Area" localSheetId="1">'8a. EIB - Evropské programy'!$A$1:$E$101</definedName>
    <definedName name="_xlnm.Print_Area" localSheetId="2">'8b. KB 2013'!$A$1:$E$168</definedName>
    <definedName name="_xlnm.Print_Area" localSheetId="3">'8c. OK 2013'!$A$1:$E$259</definedName>
    <definedName name="_xlnm.Print_Area" localSheetId="4">'d) dotace'!$A$1:$E$31</definedName>
    <definedName name="_xlnm.Print_Area" localSheetId="0">rekapitulace!$A$1:$D$45</definedName>
  </definedNames>
  <calcPr calcId="145621"/>
</workbook>
</file>

<file path=xl/calcChain.xml><?xml version="1.0" encoding="utf-8"?>
<calcChain xmlns="http://schemas.openxmlformats.org/spreadsheetml/2006/main">
  <c r="D19" i="10" l="1"/>
  <c r="C19" i="10"/>
  <c r="B19" i="10"/>
  <c r="D7" i="10"/>
  <c r="C7" i="10"/>
  <c r="B7" i="10"/>
  <c r="D31" i="7" l="1"/>
  <c r="C31" i="7"/>
  <c r="C249" i="8"/>
  <c r="B224" i="8"/>
  <c r="D194" i="8"/>
  <c r="C194" i="8"/>
  <c r="B194" i="8"/>
  <c r="C163" i="8"/>
  <c r="C79" i="8"/>
  <c r="B79" i="8"/>
  <c r="B44" i="1"/>
  <c r="D73" i="4"/>
  <c r="C73" i="4"/>
  <c r="B73" i="4"/>
  <c r="D62" i="4"/>
  <c r="C62" i="4"/>
  <c r="D54" i="4"/>
  <c r="C54" i="4"/>
  <c r="B54" i="4"/>
  <c r="D36" i="4"/>
  <c r="C36" i="4"/>
  <c r="B36" i="4"/>
  <c r="D7" i="4"/>
  <c r="C7" i="4"/>
  <c r="B7" i="4"/>
  <c r="E211" i="8" l="1"/>
  <c r="E210" i="8"/>
  <c r="E209" i="8"/>
  <c r="B25" i="10" l="1"/>
  <c r="D25" i="10"/>
  <c r="C25" i="10"/>
  <c r="D12" i="10"/>
  <c r="C12" i="10"/>
  <c r="B12" i="10"/>
  <c r="J264" i="8"/>
  <c r="K264" i="8"/>
  <c r="I264" i="8"/>
  <c r="J207" i="8"/>
  <c r="I207" i="8"/>
  <c r="J206" i="8"/>
  <c r="K206" i="8"/>
  <c r="I206" i="8"/>
  <c r="J194" i="8"/>
  <c r="K194" i="8"/>
  <c r="I194" i="8"/>
  <c r="J193" i="8"/>
  <c r="K193" i="8"/>
  <c r="I193" i="8"/>
  <c r="D249" i="8"/>
  <c r="B249" i="8"/>
  <c r="D163" i="8"/>
  <c r="D79" i="8"/>
  <c r="B163" i="8"/>
  <c r="D7" i="8"/>
  <c r="C7" i="8"/>
  <c r="B7" i="8"/>
  <c r="E23" i="10" l="1"/>
  <c r="E10" i="10"/>
  <c r="D200" i="8"/>
  <c r="D224" i="8" s="1"/>
  <c r="C200" i="8"/>
  <c r="C224" i="8" s="1"/>
  <c r="B200" i="8"/>
  <c r="D120" i="8"/>
  <c r="C120" i="8"/>
  <c r="B120" i="8"/>
  <c r="C170" i="8"/>
  <c r="D170" i="8"/>
  <c r="B170" i="8"/>
  <c r="E213" i="8"/>
  <c r="E177" i="8"/>
  <c r="J144" i="8"/>
  <c r="K144" i="8"/>
  <c r="I144" i="8"/>
  <c r="J143" i="8"/>
  <c r="K143" i="8"/>
  <c r="I143" i="8"/>
  <c r="E136" i="8"/>
  <c r="E135" i="8"/>
  <c r="E134" i="8"/>
  <c r="K16" i="4" l="1"/>
  <c r="J16" i="4"/>
  <c r="I16" i="4"/>
  <c r="J91" i="4" l="1"/>
  <c r="K91" i="4"/>
  <c r="I91" i="4"/>
  <c r="D79" i="4" l="1"/>
  <c r="C79" i="4"/>
  <c r="B79" i="4"/>
  <c r="B62" i="4"/>
  <c r="B31" i="4"/>
  <c r="J155" i="4"/>
  <c r="K155" i="4"/>
  <c r="I155" i="4"/>
  <c r="J154" i="4"/>
  <c r="K154" i="4"/>
  <c r="I154" i="4"/>
  <c r="J57" i="4"/>
  <c r="K57" i="4"/>
  <c r="I57" i="4"/>
  <c r="J56" i="4"/>
  <c r="K56" i="4"/>
  <c r="I56" i="4"/>
  <c r="K55" i="4"/>
  <c r="J55" i="4"/>
  <c r="I55" i="4"/>
  <c r="K54" i="4"/>
  <c r="J54" i="4"/>
  <c r="I54" i="4"/>
  <c r="K41" i="4"/>
  <c r="J41" i="4"/>
  <c r="I41" i="4"/>
  <c r="K40" i="4"/>
  <c r="J40" i="4"/>
  <c r="I40" i="4"/>
  <c r="K39" i="4"/>
  <c r="J39" i="4"/>
  <c r="I39" i="4"/>
  <c r="K38" i="4"/>
  <c r="J38" i="4"/>
  <c r="I38" i="4"/>
  <c r="I101" i="4" s="1"/>
  <c r="J15" i="4"/>
  <c r="K15" i="4"/>
  <c r="I15" i="4"/>
  <c r="J14" i="4"/>
  <c r="J103" i="4" s="1"/>
  <c r="K14" i="4"/>
  <c r="I14" i="4"/>
  <c r="I103" i="4" s="1"/>
  <c r="J13" i="4"/>
  <c r="K13" i="4"/>
  <c r="K101" i="4" s="1"/>
  <c r="J153" i="4"/>
  <c r="K153" i="4"/>
  <c r="K103" i="4"/>
  <c r="J102" i="4"/>
  <c r="K102" i="4"/>
  <c r="I153" i="4"/>
  <c r="I102" i="4"/>
  <c r="J101" i="4"/>
  <c r="E70" i="4" l="1"/>
  <c r="E71" i="4"/>
  <c r="D71" i="4"/>
  <c r="D70" i="4"/>
  <c r="D69" i="4"/>
  <c r="E69" i="4" s="1"/>
  <c r="D68" i="4"/>
  <c r="E68" i="4" s="1"/>
  <c r="C71" i="4"/>
  <c r="C70" i="4"/>
  <c r="C69" i="4"/>
  <c r="C68" i="4"/>
  <c r="D66" i="4"/>
  <c r="D67" i="4"/>
  <c r="E67" i="4" s="1"/>
  <c r="C67" i="4"/>
  <c r="C66" i="4"/>
  <c r="J142" i="8" l="1"/>
  <c r="K142" i="8"/>
  <c r="I142" i="8"/>
  <c r="I141" i="8"/>
  <c r="K140" i="8"/>
  <c r="J140" i="8"/>
  <c r="I140" i="8"/>
  <c r="I192" i="8"/>
  <c r="K191" i="8"/>
  <c r="J191" i="8"/>
  <c r="I191" i="8"/>
  <c r="B181" i="8"/>
  <c r="J205" i="8" l="1"/>
  <c r="K205" i="8"/>
  <c r="I205" i="8"/>
  <c r="J204" i="8"/>
  <c r="K204" i="8"/>
  <c r="K207" i="8" s="1"/>
  <c r="I204" i="8"/>
  <c r="I101" i="8"/>
  <c r="K100" i="8"/>
  <c r="J100" i="8"/>
  <c r="I100" i="8"/>
  <c r="I74" i="8"/>
  <c r="I267" i="8" s="1"/>
  <c r="I73" i="8"/>
  <c r="K80" i="4"/>
  <c r="J80" i="4"/>
  <c r="E189" i="8" l="1"/>
  <c r="D188" i="8"/>
  <c r="C188" i="8"/>
  <c r="E183" i="8"/>
  <c r="E184" i="8" l="1"/>
  <c r="E185" i="8" l="1"/>
  <c r="E186" i="8"/>
  <c r="E65" i="8" l="1"/>
  <c r="D215" i="8" l="1"/>
  <c r="C215" i="8"/>
  <c r="B215" i="8"/>
  <c r="D159" i="8"/>
  <c r="C159" i="8"/>
  <c r="B159" i="8"/>
  <c r="D85" i="8"/>
  <c r="C85" i="8"/>
  <c r="B85" i="8"/>
  <c r="D51" i="8"/>
  <c r="C51" i="8"/>
  <c r="B51" i="8"/>
  <c r="I75" i="8" s="1"/>
  <c r="I268" i="8" s="1"/>
  <c r="D145" i="1"/>
  <c r="C145" i="1"/>
  <c r="D136" i="1"/>
  <c r="D149" i="1" s="1"/>
  <c r="C136" i="1"/>
  <c r="D122" i="1"/>
  <c r="C122" i="1"/>
  <c r="B122" i="1"/>
  <c r="D29" i="1"/>
  <c r="C29" i="1"/>
  <c r="C44" i="1" s="1"/>
  <c r="B29" i="1"/>
  <c r="D7" i="1"/>
  <c r="C7" i="1"/>
  <c r="B7" i="1"/>
  <c r="C149" i="1" l="1"/>
  <c r="B145" i="1" l="1"/>
  <c r="B136" i="1"/>
  <c r="D85" i="1"/>
  <c r="C85" i="1"/>
  <c r="B85" i="1"/>
  <c r="D52" i="1"/>
  <c r="C52" i="1"/>
  <c r="B52" i="1"/>
  <c r="E208" i="8" l="1"/>
  <c r="E207" i="8"/>
  <c r="E220" i="8" l="1"/>
  <c r="E219" i="8"/>
  <c r="E218" i="8"/>
  <c r="E217" i="8"/>
  <c r="D187" i="8" l="1"/>
  <c r="C187" i="8"/>
  <c r="E173" i="8"/>
  <c r="E174" i="8"/>
  <c r="E153" i="8"/>
  <c r="E152" i="8"/>
  <c r="E151" i="8"/>
  <c r="E150" i="8"/>
  <c r="E148" i="8"/>
  <c r="E147" i="8"/>
  <c r="E146" i="8"/>
  <c r="E145" i="8"/>
  <c r="E144" i="8"/>
  <c r="C22" i="10"/>
  <c r="D22" i="10"/>
  <c r="D21" i="10"/>
  <c r="C21" i="10"/>
  <c r="D9" i="10"/>
  <c r="C9" i="10"/>
  <c r="D20" i="10"/>
  <c r="E20" i="10" s="1"/>
  <c r="D8" i="10"/>
  <c r="C8" i="10"/>
  <c r="C20" i="10"/>
  <c r="E22" i="10" l="1"/>
  <c r="E21" i="10"/>
  <c r="J192" i="8"/>
  <c r="C181" i="8"/>
  <c r="K192" i="8"/>
  <c r="D181" i="8"/>
  <c r="E188" i="8"/>
  <c r="E182" i="8"/>
  <c r="E85" i="8"/>
  <c r="E127" i="8"/>
  <c r="E108" i="8" l="1"/>
  <c r="E107" i="8"/>
  <c r="E98" i="8" l="1"/>
  <c r="E93" i="8" l="1"/>
  <c r="E92" i="8"/>
  <c r="E86" i="8"/>
  <c r="E87" i="8"/>
  <c r="E88" i="8"/>
  <c r="E89" i="8"/>
  <c r="E62" i="8"/>
  <c r="E61" i="8"/>
  <c r="E60" i="8"/>
  <c r="E59" i="8"/>
  <c r="E55" i="8"/>
  <c r="E56" i="8"/>
  <c r="E57" i="8"/>
  <c r="E58" i="8"/>
  <c r="E63" i="8"/>
  <c r="E64" i="8"/>
  <c r="E46" i="8"/>
  <c r="E45" i="8"/>
  <c r="E44" i="8"/>
  <c r="E42" i="8"/>
  <c r="E43" i="8"/>
  <c r="E21" i="8"/>
  <c r="E63" i="4" l="1"/>
  <c r="E64" i="4"/>
  <c r="C98" i="4" l="1"/>
  <c r="E66" i="4"/>
  <c r="E65" i="4"/>
  <c r="B98" i="4" l="1"/>
  <c r="B17" i="7" s="1"/>
  <c r="E62" i="4"/>
  <c r="C17" i="7"/>
  <c r="D89" i="4"/>
  <c r="C89" i="4"/>
  <c r="D84" i="4"/>
  <c r="C84" i="4"/>
  <c r="C99" i="4" s="1"/>
  <c r="C25" i="7" s="1"/>
  <c r="B84" i="4"/>
  <c r="B99" i="4" s="1"/>
  <c r="B25" i="7" s="1"/>
  <c r="I13" i="4"/>
  <c r="E82" i="4"/>
  <c r="J81" i="4"/>
  <c r="K81" i="4"/>
  <c r="I81" i="4"/>
  <c r="E47" i="4"/>
  <c r="E46" i="4"/>
  <c r="E45" i="4"/>
  <c r="E44" i="4"/>
  <c r="E73" i="4" l="1"/>
  <c r="D98" i="4"/>
  <c r="E84" i="4"/>
  <c r="D99" i="4"/>
  <c r="E29" i="4"/>
  <c r="E28" i="4"/>
  <c r="K82" i="4"/>
  <c r="J82" i="4"/>
  <c r="I80" i="4"/>
  <c r="I82" i="4" s="1"/>
  <c r="D31" i="4"/>
  <c r="C31" i="4"/>
  <c r="E43" i="4"/>
  <c r="E42" i="4"/>
  <c r="E41" i="4"/>
  <c r="E40" i="4"/>
  <c r="E39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58" i="4"/>
  <c r="E99" i="4" l="1"/>
  <c r="D25" i="7"/>
  <c r="D17" i="7"/>
  <c r="E98" i="4"/>
  <c r="E31" i="4"/>
  <c r="E128" i="1" l="1"/>
  <c r="D115" i="1" l="1"/>
  <c r="B115" i="1"/>
  <c r="E88" i="1"/>
  <c r="E89" i="1"/>
  <c r="E90" i="1"/>
  <c r="E91" i="1"/>
  <c r="E92" i="1"/>
  <c r="E93" i="1"/>
  <c r="E94" i="1"/>
  <c r="E95" i="1"/>
  <c r="E96" i="1"/>
  <c r="E97" i="1"/>
  <c r="E98" i="1"/>
  <c r="E99" i="1"/>
  <c r="E102" i="1"/>
  <c r="E103" i="1"/>
  <c r="E104" i="1"/>
  <c r="E105" i="1"/>
  <c r="E106" i="1"/>
  <c r="E107" i="1"/>
  <c r="E108" i="1"/>
  <c r="E109" i="1"/>
  <c r="E110" i="1"/>
  <c r="E112" i="1"/>
  <c r="E113" i="1"/>
  <c r="C78" i="1"/>
  <c r="D78" i="1"/>
  <c r="B78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42" i="1"/>
  <c r="E41" i="1"/>
  <c r="E38" i="1"/>
  <c r="E37" i="1"/>
  <c r="E36" i="1"/>
  <c r="E35" i="1"/>
  <c r="E33" i="1"/>
  <c r="E32" i="1"/>
  <c r="E31" i="1"/>
  <c r="D44" i="1"/>
  <c r="E24" i="1"/>
  <c r="E23" i="1"/>
  <c r="E22" i="1"/>
  <c r="E21" i="1"/>
  <c r="E20" i="1"/>
  <c r="E19" i="1"/>
  <c r="E8" i="1"/>
  <c r="E9" i="1"/>
  <c r="E10" i="1"/>
  <c r="E11" i="1"/>
  <c r="E12" i="1"/>
  <c r="E13" i="1"/>
  <c r="E14" i="1"/>
  <c r="E15" i="1"/>
  <c r="E16" i="1"/>
  <c r="E17" i="1"/>
  <c r="E18" i="1"/>
  <c r="E85" i="1" l="1"/>
  <c r="C115" i="1"/>
  <c r="E53" i="1"/>
  <c r="E160" i="8" l="1"/>
  <c r="B246" i="8" l="1"/>
  <c r="C244" i="8"/>
  <c r="D244" i="8"/>
  <c r="B244" i="8"/>
  <c r="C241" i="8"/>
  <c r="J242" i="8" s="1"/>
  <c r="D241" i="8"/>
  <c r="K242" i="8" s="1"/>
  <c r="B241" i="8"/>
  <c r="I242" i="8" s="1"/>
  <c r="B239" i="8"/>
  <c r="B232" i="8"/>
  <c r="I240" i="8" s="1"/>
  <c r="B234" i="8"/>
  <c r="D239" i="8"/>
  <c r="C239" i="8"/>
  <c r="B237" i="8"/>
  <c r="I241" i="8" s="1"/>
  <c r="D237" i="8"/>
  <c r="K241" i="8" s="1"/>
  <c r="C237" i="8"/>
  <c r="J241" i="8" s="1"/>
  <c r="D234" i="8"/>
  <c r="C234" i="8"/>
  <c r="D232" i="8"/>
  <c r="D113" i="8"/>
  <c r="B113" i="8"/>
  <c r="J239" i="8"/>
  <c r="K239" i="8"/>
  <c r="I239" i="8"/>
  <c r="E176" i="8"/>
  <c r="E175" i="8"/>
  <c r="E172" i="8"/>
  <c r="E171" i="8"/>
  <c r="J141" i="8"/>
  <c r="K141" i="8"/>
  <c r="E126" i="8"/>
  <c r="E125" i="8"/>
  <c r="E123" i="8"/>
  <c r="E122" i="8"/>
  <c r="E121" i="8"/>
  <c r="C113" i="8"/>
  <c r="E94" i="8"/>
  <c r="E95" i="8"/>
  <c r="E96" i="8"/>
  <c r="E97" i="8"/>
  <c r="E99" i="8"/>
  <c r="E100" i="8"/>
  <c r="E101" i="8"/>
  <c r="E102" i="8"/>
  <c r="E103" i="8"/>
  <c r="E104" i="8"/>
  <c r="E105" i="8"/>
  <c r="J101" i="8"/>
  <c r="K101" i="8"/>
  <c r="J74" i="8"/>
  <c r="J267" i="8" s="1"/>
  <c r="K74" i="8"/>
  <c r="K267" i="8" s="1"/>
  <c r="J73" i="8"/>
  <c r="K73" i="8"/>
  <c r="K266" i="8" s="1"/>
  <c r="C264" i="8"/>
  <c r="C263" i="8" s="1"/>
  <c r="D263" i="8"/>
  <c r="B263" i="8"/>
  <c r="J266" i="8" l="1"/>
  <c r="I266" i="8"/>
  <c r="E239" i="8"/>
  <c r="C145" i="4" l="1"/>
  <c r="C140" i="4" s="1"/>
  <c r="J90" i="4"/>
  <c r="K90" i="4"/>
  <c r="I90" i="4"/>
  <c r="D140" i="4"/>
  <c r="B140" i="4"/>
  <c r="C190" i="1"/>
  <c r="C179" i="1"/>
  <c r="E129" i="1"/>
  <c r="E124" i="1"/>
  <c r="E126" i="1"/>
  <c r="E127" i="1"/>
  <c r="E137" i="1"/>
  <c r="E7" i="1"/>
  <c r="K141" i="4" l="1"/>
  <c r="I141" i="4"/>
  <c r="J141" i="4"/>
  <c r="E57" i="4" l="1"/>
  <c r="E235" i="8"/>
  <c r="E202" i="8" l="1"/>
  <c r="E203" i="8"/>
  <c r="E204" i="8"/>
  <c r="E205" i="8"/>
  <c r="E206" i="8"/>
  <c r="E212" i="8"/>
  <c r="E138" i="8"/>
  <c r="E139" i="8"/>
  <c r="E140" i="8"/>
  <c r="E141" i="8"/>
  <c r="E142" i="8"/>
  <c r="E143" i="8"/>
  <c r="E149" i="8"/>
  <c r="E233" i="8" l="1"/>
  <c r="C232" i="8"/>
  <c r="E147" i="1" l="1"/>
  <c r="E90" i="8" l="1"/>
  <c r="E91" i="8"/>
  <c r="E106" i="8"/>
  <c r="E109" i="8"/>
  <c r="E66" i="8" l="1"/>
  <c r="E54" i="8"/>
  <c r="E53" i="8"/>
  <c r="E52" i="8"/>
  <c r="E90" i="4" l="1"/>
  <c r="E80" i="4" l="1"/>
  <c r="E216" i="8"/>
  <c r="E161" i="8"/>
  <c r="E130" i="8"/>
  <c r="E131" i="8"/>
  <c r="E132" i="8"/>
  <c r="E128" i="8"/>
  <c r="E159" i="8" l="1"/>
  <c r="E47" i="8"/>
  <c r="E9" i="8"/>
  <c r="E10" i="8"/>
  <c r="E11" i="8"/>
  <c r="E12" i="8"/>
  <c r="E13" i="8"/>
  <c r="E14" i="8"/>
  <c r="E15" i="8"/>
  <c r="E16" i="8"/>
  <c r="E17" i="8"/>
  <c r="E18" i="8"/>
  <c r="E19" i="8"/>
  <c r="E20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75" i="8"/>
  <c r="D74" i="8"/>
  <c r="C74" i="8"/>
  <c r="B74" i="8"/>
  <c r="C92" i="4"/>
  <c r="C100" i="4" s="1"/>
  <c r="C27" i="7" s="1"/>
  <c r="C26" i="7" s="1"/>
  <c r="B89" i="4"/>
  <c r="B92" i="4" s="1"/>
  <c r="B100" i="4" s="1"/>
  <c r="B27" i="7" s="1"/>
  <c r="B26" i="7" s="1"/>
  <c r="C155" i="1"/>
  <c r="C158" i="1" s="1"/>
  <c r="D155" i="1"/>
  <c r="D158" i="1" s="1"/>
  <c r="B155" i="1"/>
  <c r="B158" i="1" s="1"/>
  <c r="E156" i="1"/>
  <c r="B149" i="1"/>
  <c r="E146" i="1"/>
  <c r="C131" i="1"/>
  <c r="D131" i="1"/>
  <c r="B131" i="1"/>
  <c r="C30" i="10"/>
  <c r="C13" i="7" s="1"/>
  <c r="B30" i="10"/>
  <c r="B13" i="7" s="1"/>
  <c r="E9" i="10"/>
  <c r="E87" i="1"/>
  <c r="K72" i="8" l="1"/>
  <c r="K265" i="8" s="1"/>
  <c r="J72" i="8"/>
  <c r="J265" i="8" s="1"/>
  <c r="I72" i="8"/>
  <c r="I265" i="8" s="1"/>
  <c r="D167" i="1"/>
  <c r="D30" i="7" s="1"/>
  <c r="C167" i="1"/>
  <c r="C30" i="7" s="1"/>
  <c r="B167" i="1"/>
  <c r="B30" i="7" s="1"/>
  <c r="E74" i="8"/>
  <c r="E89" i="4"/>
  <c r="D92" i="4"/>
  <c r="D100" i="4" s="1"/>
  <c r="D27" i="7" s="1"/>
  <c r="D26" i="7" s="1"/>
  <c r="E155" i="1"/>
  <c r="E145" i="1"/>
  <c r="E8" i="10"/>
  <c r="E34" i="1"/>
  <c r="E39" i="1"/>
  <c r="E40" i="1"/>
  <c r="E30" i="1"/>
  <c r="E158" i="1" l="1"/>
  <c r="E167" i="1"/>
  <c r="E92" i="4"/>
  <c r="E100" i="4"/>
  <c r="E19" i="10"/>
  <c r="E52" i="1"/>
  <c r="C105" i="4"/>
  <c r="D105" i="4"/>
  <c r="B105" i="4"/>
  <c r="C110" i="4"/>
  <c r="D110" i="4"/>
  <c r="B110" i="4"/>
  <c r="C111" i="4"/>
  <c r="D111" i="4"/>
  <c r="B111" i="4"/>
  <c r="I103" i="8"/>
  <c r="E221" i="8"/>
  <c r="E247" i="8"/>
  <c r="J75" i="8"/>
  <c r="J268" i="8" s="1"/>
  <c r="E190" i="8"/>
  <c r="E187" i="8"/>
  <c r="E236" i="8"/>
  <c r="J270" i="8"/>
  <c r="D246" i="8"/>
  <c r="C246" i="8"/>
  <c r="I246" i="8"/>
  <c r="E245" i="8"/>
  <c r="D29" i="10"/>
  <c r="D8" i="7" s="1"/>
  <c r="B29" i="10"/>
  <c r="J243" i="8"/>
  <c r="J272" i="8" s="1"/>
  <c r="I243" i="8"/>
  <c r="E243" i="8"/>
  <c r="E242" i="8"/>
  <c r="K271" i="8"/>
  <c r="J271" i="8"/>
  <c r="I271" i="8"/>
  <c r="E240" i="8"/>
  <c r="E238" i="8"/>
  <c r="K270" i="8"/>
  <c r="I270" i="8"/>
  <c r="K240" i="8"/>
  <c r="J240" i="8"/>
  <c r="J244" i="8" s="1"/>
  <c r="E201" i="8"/>
  <c r="K75" i="8"/>
  <c r="K268" i="8" s="1"/>
  <c r="E8" i="8"/>
  <c r="E138" i="1"/>
  <c r="E81" i="4"/>
  <c r="D108" i="4"/>
  <c r="C108" i="4"/>
  <c r="B108" i="4"/>
  <c r="D107" i="4"/>
  <c r="C107" i="4"/>
  <c r="B107" i="4"/>
  <c r="C49" i="4"/>
  <c r="C97" i="4" s="1"/>
  <c r="C12" i="7" s="1"/>
  <c r="D49" i="4"/>
  <c r="D97" i="4" s="1"/>
  <c r="D12" i="7" s="1"/>
  <c r="B49" i="4"/>
  <c r="B97" i="4" s="1"/>
  <c r="B12" i="7" s="1"/>
  <c r="E37" i="4"/>
  <c r="E38" i="4"/>
  <c r="C165" i="1"/>
  <c r="C21" i="7" s="1"/>
  <c r="E8" i="4"/>
  <c r="B165" i="1"/>
  <c r="B21" i="7" s="1"/>
  <c r="E139" i="1"/>
  <c r="E140" i="1"/>
  <c r="E141" i="1"/>
  <c r="E86" i="1"/>
  <c r="E123" i="1"/>
  <c r="E7" i="10"/>
  <c r="I272" i="8" l="1"/>
  <c r="I244" i="8"/>
  <c r="B31" i="10"/>
  <c r="B41" i="7" s="1"/>
  <c r="B8" i="7"/>
  <c r="K246" i="8"/>
  <c r="J246" i="8"/>
  <c r="B258" i="8"/>
  <c r="B29" i="7" s="1"/>
  <c r="B28" i="7" s="1"/>
  <c r="I269" i="8"/>
  <c r="I274" i="8" s="1"/>
  <c r="J269" i="8"/>
  <c r="K269" i="8"/>
  <c r="K76" i="8"/>
  <c r="J76" i="8"/>
  <c r="I76" i="8"/>
  <c r="C106" i="4"/>
  <c r="B257" i="8"/>
  <c r="B23" i="7" s="1"/>
  <c r="D257" i="8"/>
  <c r="D23" i="7" s="1"/>
  <c r="D22" i="7" s="1"/>
  <c r="C257" i="8"/>
  <c r="C23" i="7" s="1"/>
  <c r="B256" i="8"/>
  <c r="B20" i="7" s="1"/>
  <c r="B19" i="7" s="1"/>
  <c r="C255" i="8"/>
  <c r="C15" i="7" s="1"/>
  <c r="C14" i="7" s="1"/>
  <c r="D255" i="8"/>
  <c r="D15" i="7" s="1"/>
  <c r="E200" i="8"/>
  <c r="E170" i="8"/>
  <c r="E234" i="8"/>
  <c r="B255" i="8"/>
  <c r="B15" i="7" s="1"/>
  <c r="B14" i="7" s="1"/>
  <c r="E237" i="8"/>
  <c r="E120" i="8"/>
  <c r="E246" i="8"/>
  <c r="E241" i="8"/>
  <c r="E232" i="8"/>
  <c r="K103" i="8"/>
  <c r="E215" i="8"/>
  <c r="E7" i="8"/>
  <c r="D253" i="8"/>
  <c r="D5" i="7" s="1"/>
  <c r="E51" i="8"/>
  <c r="E7" i="4"/>
  <c r="E36" i="4"/>
  <c r="B109" i="4"/>
  <c r="E54" i="4"/>
  <c r="E79" i="4"/>
  <c r="D96" i="4"/>
  <c r="D7" i="7" s="1"/>
  <c r="D109" i="4"/>
  <c r="D106" i="4"/>
  <c r="C166" i="1"/>
  <c r="C24" i="7" s="1"/>
  <c r="B166" i="1"/>
  <c r="B24" i="7" s="1"/>
  <c r="E25" i="10"/>
  <c r="D30" i="10"/>
  <c r="D13" i="7" s="1"/>
  <c r="E12" i="10"/>
  <c r="C29" i="10"/>
  <c r="B164" i="1"/>
  <c r="B16" i="7" s="1"/>
  <c r="C164" i="1"/>
  <c r="C16" i="7" s="1"/>
  <c r="C109" i="4"/>
  <c r="B96" i="4"/>
  <c r="B7" i="7" s="1"/>
  <c r="B106" i="4"/>
  <c r="C96" i="4"/>
  <c r="C7" i="7" s="1"/>
  <c r="C163" i="1"/>
  <c r="C11" i="7" s="1"/>
  <c r="B163" i="1"/>
  <c r="B11" i="7" s="1"/>
  <c r="E136" i="1"/>
  <c r="D164" i="1"/>
  <c r="D16" i="7" s="1"/>
  <c r="E131" i="1"/>
  <c r="D165" i="1"/>
  <c r="D21" i="7" s="1"/>
  <c r="E149" i="1"/>
  <c r="D166" i="1"/>
  <c r="D24" i="7" s="1"/>
  <c r="E122" i="1"/>
  <c r="B22" i="7" l="1"/>
  <c r="C22" i="7"/>
  <c r="E29" i="10"/>
  <c r="C8" i="7"/>
  <c r="J247" i="8"/>
  <c r="C104" i="4"/>
  <c r="I144" i="4"/>
  <c r="I148" i="4" s="1"/>
  <c r="J144" i="4"/>
  <c r="K144" i="4"/>
  <c r="K148" i="4" s="1"/>
  <c r="D14" i="7"/>
  <c r="C31" i="10"/>
  <c r="C41" i="7" s="1"/>
  <c r="I247" i="8"/>
  <c r="E244" i="8"/>
  <c r="K243" i="8"/>
  <c r="K244" i="8" s="1"/>
  <c r="C253" i="8"/>
  <c r="C5" i="7" s="1"/>
  <c r="B253" i="8"/>
  <c r="B5" i="7" s="1"/>
  <c r="D31" i="10"/>
  <c r="D41" i="7" s="1"/>
  <c r="E30" i="10"/>
  <c r="C256" i="8"/>
  <c r="C20" i="7" s="1"/>
  <c r="C19" i="7" s="1"/>
  <c r="C258" i="8"/>
  <c r="C29" i="7" s="1"/>
  <c r="C28" i="7" s="1"/>
  <c r="E224" i="8"/>
  <c r="E163" i="8"/>
  <c r="E79" i="8"/>
  <c r="E255" i="8"/>
  <c r="B104" i="4"/>
  <c r="E49" i="4"/>
  <c r="D104" i="4"/>
  <c r="E115" i="1"/>
  <c r="C162" i="1"/>
  <c r="C6" i="7" s="1"/>
  <c r="B162" i="1"/>
  <c r="E44" i="1"/>
  <c r="E96" i="4"/>
  <c r="E29" i="1"/>
  <c r="E165" i="1"/>
  <c r="E166" i="1"/>
  <c r="E164" i="1"/>
  <c r="D162" i="1"/>
  <c r="D6" i="7" s="1"/>
  <c r="D4" i="7" s="1"/>
  <c r="E181" i="8"/>
  <c r="E257" i="8"/>
  <c r="C4" i="7" l="1"/>
  <c r="E31" i="10"/>
  <c r="J148" i="4"/>
  <c r="D101" i="4"/>
  <c r="D40" i="7" s="1"/>
  <c r="B168" i="1"/>
  <c r="B39" i="7" s="1"/>
  <c r="B6" i="7"/>
  <c r="B4" i="7" s="1"/>
  <c r="E253" i="8"/>
  <c r="K272" i="8"/>
  <c r="K274" i="8" s="1"/>
  <c r="K247" i="8"/>
  <c r="J103" i="8"/>
  <c r="J274" i="8"/>
  <c r="C254" i="8"/>
  <c r="D254" i="8"/>
  <c r="D10" i="7" s="1"/>
  <c r="C101" i="4"/>
  <c r="C40" i="7" s="1"/>
  <c r="B101" i="4"/>
  <c r="B40" i="7" s="1"/>
  <c r="E113" i="8"/>
  <c r="E249" i="8"/>
  <c r="D258" i="8"/>
  <c r="D29" i="7" s="1"/>
  <c r="D28" i="7" s="1"/>
  <c r="E97" i="4"/>
  <c r="C168" i="1"/>
  <c r="C39" i="7" s="1"/>
  <c r="E78" i="1"/>
  <c r="D163" i="1"/>
  <c r="E162" i="1"/>
  <c r="E194" i="8"/>
  <c r="D256" i="8"/>
  <c r="D20" i="7" s="1"/>
  <c r="D19" i="7" s="1"/>
  <c r="E101" i="4" l="1"/>
  <c r="D168" i="1"/>
  <c r="D39" i="7" s="1"/>
  <c r="D11" i="7"/>
  <c r="C259" i="8"/>
  <c r="C38" i="7" s="1"/>
  <c r="C42" i="7" s="1"/>
  <c r="C10" i="7"/>
  <c r="C9" i="7" s="1"/>
  <c r="E254" i="8"/>
  <c r="E258" i="8"/>
  <c r="E163" i="1"/>
  <c r="E256" i="8"/>
  <c r="D259" i="8"/>
  <c r="D9" i="7" l="1"/>
  <c r="C191" i="1"/>
  <c r="C192" i="1" s="1"/>
  <c r="E168" i="1"/>
  <c r="E259" i="8"/>
  <c r="D38" i="7"/>
  <c r="D42" i="7" s="1"/>
  <c r="B254" i="8"/>
  <c r="B10" i="7" s="1"/>
  <c r="B9" i="7" s="1"/>
  <c r="B31" i="7" s="1"/>
  <c r="B259" i="8" l="1"/>
  <c r="B38" i="7" s="1"/>
  <c r="B42" i="7" s="1"/>
</calcChain>
</file>

<file path=xl/sharedStrings.xml><?xml version="1.0" encoding="utf-8"?>
<sst xmlns="http://schemas.openxmlformats.org/spreadsheetml/2006/main" count="939" uniqueCount="427">
  <si>
    <t>schválený rozpočet</t>
  </si>
  <si>
    <t>upravený rozpočet</t>
  </si>
  <si>
    <t>ORG</t>
  </si>
  <si>
    <t>Celkem</t>
  </si>
  <si>
    <t>skutečnost</t>
  </si>
  <si>
    <t>název akce</t>
  </si>
  <si>
    <t xml:space="preserve"> %</t>
  </si>
  <si>
    <t>oblast školství</t>
  </si>
  <si>
    <t>oblast kultury</t>
  </si>
  <si>
    <t>oblast sociální</t>
  </si>
  <si>
    <t>oblast zdravotnictví</t>
  </si>
  <si>
    <t>oblast dopravy</t>
  </si>
  <si>
    <t>Rekapitulace:</t>
  </si>
  <si>
    <t xml:space="preserve"> - oblast dopravy</t>
  </si>
  <si>
    <t xml:space="preserve"> - oblast zdravotnictví</t>
  </si>
  <si>
    <t xml:space="preserve"> - oblast sociální</t>
  </si>
  <si>
    <t xml:space="preserve"> - oblast školství</t>
  </si>
  <si>
    <t xml:space="preserve"> - oblast kultury</t>
  </si>
  <si>
    <t>v Kč</t>
  </si>
  <si>
    <t>ORG 60004</t>
  </si>
  <si>
    <t>ORG 6005</t>
  </si>
  <si>
    <t>ORG 6002</t>
  </si>
  <si>
    <t>ORG 6001</t>
  </si>
  <si>
    <t>a) Financovano z úvěrového rámce Evropské investiční banky ( 3 000 tis.Kč)</t>
  </si>
  <si>
    <t>1. Oblast školství</t>
  </si>
  <si>
    <t>a) akce zajišťované odborem investic a evropských programů</t>
  </si>
  <si>
    <t>b) akce zajišťované příspěvkovými organizacemi</t>
  </si>
  <si>
    <t xml:space="preserve">Oblast školství celkem </t>
  </si>
  <si>
    <t xml:space="preserve">Oblast sociální celkem </t>
  </si>
  <si>
    <t>2. Oblast sociální</t>
  </si>
  <si>
    <t xml:space="preserve">Oblast kultury celkem </t>
  </si>
  <si>
    <t xml:space="preserve">Oblast zdravotnictví celkem </t>
  </si>
  <si>
    <t xml:space="preserve">Oblast dopravy celkem </t>
  </si>
  <si>
    <t>5. Oblast zdravotnictví</t>
  </si>
  <si>
    <t xml:space="preserve"> - rozpočet kraje</t>
  </si>
  <si>
    <t xml:space="preserve"> - úvěr KB</t>
  </si>
  <si>
    <t xml:space="preserve"> - úvěr EIB</t>
  </si>
  <si>
    <t>oblast krajské správy</t>
  </si>
  <si>
    <t>CELKEM</t>
  </si>
  <si>
    <t xml:space="preserve">Rekapitulace dle zdrojů: </t>
  </si>
  <si>
    <t>rozpočet Olomouckého kraje</t>
  </si>
  <si>
    <t>úvěrový rámec KB</t>
  </si>
  <si>
    <t>úvěrový rámec EIB</t>
  </si>
  <si>
    <t>1/ akce zajišťované Olomouckým krajem</t>
  </si>
  <si>
    <t>2/ akce zajišťované příspěvkovými organizacemi Olomouckého kraje</t>
  </si>
  <si>
    <t>b) Financovano z úvěrového rámce Komerční banky, a.s. ( 700 tis.Kč)</t>
  </si>
  <si>
    <t xml:space="preserve">2. Oblast sociální </t>
  </si>
  <si>
    <t>4. Oblast kultury</t>
  </si>
  <si>
    <t>3. Oblast dopravy</t>
  </si>
  <si>
    <t>b/ akce zajišťované příspěvkovými organizacemi</t>
  </si>
  <si>
    <t>100328</t>
  </si>
  <si>
    <t>100523</t>
  </si>
  <si>
    <t>100540</t>
  </si>
  <si>
    <t xml:space="preserve">5. Oblast zdravotnictví </t>
  </si>
  <si>
    <t>oblast zdravotnictví - nájemné NOK</t>
  </si>
  <si>
    <t>zastupitelé</t>
  </si>
  <si>
    <t>kancelář hejtmana</t>
  </si>
  <si>
    <t>kancelář ředitele</t>
  </si>
  <si>
    <t>odbor informačních technologií</t>
  </si>
  <si>
    <t>odbor strategického rozvoje kraje</t>
  </si>
  <si>
    <t>Investiční výdaje odborů</t>
  </si>
  <si>
    <t xml:space="preserve">  - investiční výdaje odborů</t>
  </si>
  <si>
    <t>odbor zdravotnictví</t>
  </si>
  <si>
    <t xml:space="preserve">UZ </t>
  </si>
  <si>
    <t>UZ</t>
  </si>
  <si>
    <t xml:space="preserve"> - výkup pozemků - dotace MF</t>
  </si>
  <si>
    <t>ORJ 30</t>
  </si>
  <si>
    <t>100326</t>
  </si>
  <si>
    <t>100331</t>
  </si>
  <si>
    <t>100441</t>
  </si>
  <si>
    <t>100470</t>
  </si>
  <si>
    <t>ORJ 17</t>
  </si>
  <si>
    <t>ORJ 17 zaplatilo 40000Kč z POU1011572 z UZ 12 z EIB</t>
  </si>
  <si>
    <t>zůstalo na ORJ 59</t>
  </si>
  <si>
    <t xml:space="preserve"> zůstalo na ORJ 50</t>
  </si>
  <si>
    <t>zapojit od rozpočtu 2012</t>
  </si>
  <si>
    <t>8115 -2012</t>
  </si>
  <si>
    <t>jako RZ 18/12 ze dne 7.2.2012</t>
  </si>
  <si>
    <t>Střední zdravotnická škola a Vyšší odborná škola zdravotnická Emanuela Pöttinga, Olomouc, Pöttingova 2 - Sanace krovu školní budovy</t>
  </si>
  <si>
    <t>Střední průmyslová škola a Obchodní akademie, Uničov, Školní 164 - Školní kuchyň a jídelna</t>
  </si>
  <si>
    <t>Střední průmyslová škola, Přerov, Havlíčkova 2 - Výměna elektrorozvodů</t>
  </si>
  <si>
    <t>Střední průmyslová škola elektrotechnická, Mohelnice, Gen. Svobody 2 - Rekonstrukce venkovní kanalizace SPŠE Mohelnice</t>
  </si>
  <si>
    <t>Střední škola, Olomouc - Svatý Kopeček, B. Dvorského 17 - Výměna oken a zateplení pavilonu</t>
  </si>
  <si>
    <t>Střední škola technická, Přerov, Kouřílkova 8 - Vybudování kotelny</t>
  </si>
  <si>
    <t>Střední odborná škola a Střední odborné učiliště zemědělské, Horní Heřmanice 47 - Úpravna a čistírny vod</t>
  </si>
  <si>
    <t>Základní škola, Dětský domov a Školní jídelna, Litovel - Výměna oken na DD Litovel, Husova 651</t>
  </si>
  <si>
    <t>Střední lesnická škola, Hranice, Jurikova 588 - Střecha historické budovy školy</t>
  </si>
  <si>
    <t>Střední škola sociální péče a služeb, Zábřeh, nám. 8. května 2 - Výměna krytiny střechy budovy školy na Bezručově ul.</t>
  </si>
  <si>
    <t>Domov důchodců Štíty - Připojení zemního plynu</t>
  </si>
  <si>
    <t>Domov důchodců Šumperk - Rekonstrukce kuchyně</t>
  </si>
  <si>
    <t>Nové Zámky - poskytovatel sociálních služeb  - komunikace a zpevněné plochy</t>
  </si>
  <si>
    <t>Domov pro seniory Tovačov - Oprava střechy a výměna oken</t>
  </si>
  <si>
    <t>60002100352</t>
  </si>
  <si>
    <t xml:space="preserve">Nové Zámky - poskytovatel sociálních služeb - Úprava vnitřních prostor budovy zámku včetně vybavení </t>
  </si>
  <si>
    <t>Penzion pro důchodce Loštice – Sanace zdiva</t>
  </si>
  <si>
    <t>Domov pro seniory POHODA Chválkovice - vnitroareálové komunikace pro pěší</t>
  </si>
  <si>
    <t>Brodek u Prostějova - okružní křižovatka</t>
  </si>
  <si>
    <t>Bernartice - Buková - opěrné zdi</t>
  </si>
  <si>
    <t>Mohelnice - křížení s železniční tratí</t>
  </si>
  <si>
    <t>Šumperk - okružní křižovatka</t>
  </si>
  <si>
    <t>Stavební úpravy křižovatky u žel. přejezdu na ul. Olomoucká, Prostějov</t>
  </si>
  <si>
    <t>Prostějov - přeložka silnice II/366 od Tesca</t>
  </si>
  <si>
    <t>II. a III. třídy Protihluková opatření</t>
  </si>
  <si>
    <t xml:space="preserve">c) Financováno z rozpočtu Olomouckého kraje </t>
  </si>
  <si>
    <t>Vlastivědné muzeum Jesenicka - Expozice geologie</t>
  </si>
  <si>
    <t>Vlastivědné muzeum v Olomouci - Elektroinstalace</t>
  </si>
  <si>
    <t>Muzeum Komenského v Přerově - Zastřešení paláce na hradě Helfštýn</t>
  </si>
  <si>
    <t>Čechy pod Kosířem - Rekonstrukce a využití objektů a revitalizace parku, 2. etapa</t>
  </si>
  <si>
    <t>Zdravotnická záchranná služba OK - Rekonstrukce a dostavba provozního zázemí LZZS OK hangáru heliport Olomouc</t>
  </si>
  <si>
    <t>Odborný léčebný ústav Paseka, přísp. org. - Analyzátor moči</t>
  </si>
  <si>
    <t>Zdravotnická záchranná služba OK, přísp. org. - Sanitní vozidla 3 ks</t>
  </si>
  <si>
    <t>60005001700</t>
  </si>
  <si>
    <t>c) akce zajišťované odborem majetkovým a právním</t>
  </si>
  <si>
    <t>6. Oblast ostatní investice</t>
  </si>
  <si>
    <t>oblast Krajský úřad a zastupitelé</t>
  </si>
  <si>
    <t xml:space="preserve"> - oblast ostatní investice</t>
  </si>
  <si>
    <t xml:space="preserve">Oblast ostatní investice celkem </t>
  </si>
  <si>
    <t>Dostavba budovy Slovanského gymnázia Olomouc</t>
  </si>
  <si>
    <t>Nový pavilon areálu Domov pro seniory Radkova Lhota</t>
  </si>
  <si>
    <t>Nový pavilon areálu Domov seniorů Pohoda Chválkovice</t>
  </si>
  <si>
    <t>Zámek Čechy pod Kosířem - rekonstrukce a využití objektů a revitalizace parku</t>
  </si>
  <si>
    <t xml:space="preserve">II/447, II/446, III/44621 Pňovice - průtah </t>
  </si>
  <si>
    <t xml:space="preserve">OLÚ neurologicko-geriatrický Moravský Beroun - rekonstrukce a dostavba oddělení rehabilitace </t>
  </si>
  <si>
    <t>Čechy - Domaželice - obchvat</t>
  </si>
  <si>
    <t>oblast informačních technologií</t>
  </si>
  <si>
    <t>Rozvoj služeb eGovernmentu</t>
  </si>
  <si>
    <t>PO</t>
  </si>
  <si>
    <t xml:space="preserve"> - oblast informačních technologií</t>
  </si>
  <si>
    <t xml:space="preserve">Oblast informačních technologií celkem </t>
  </si>
  <si>
    <t>Integrace handicapovaných dětí do vytipovaných škol a školských zařízení v Olomouckém kraji</t>
  </si>
  <si>
    <t>Energeticky úsporná opatření - SŠ polygrafická Olomouc</t>
  </si>
  <si>
    <t>Realizace energeticky úsporných opatření - VOŠ a SŠ automobilní Zábřeh</t>
  </si>
  <si>
    <t>Realizace energeticky úsporných opatření - SŠ zemědělská Olomouc domov mládeže</t>
  </si>
  <si>
    <t>Realizace energeticky úsporných opatření - ZŠ a MŠ logopedická Olomouc</t>
  </si>
  <si>
    <t>Centrum vzdělávání na SPŠ strojnické Olomouc</t>
  </si>
  <si>
    <t>Rekonstrukce dílen Střední školy železniční a stavební, Šumperk, Bulharská 8</t>
  </si>
  <si>
    <t>Realizace energeticky úsporných opatření - Obchodní akademie Přerov</t>
  </si>
  <si>
    <t>Realizace energeticky úsporných opatření - Gymnázium Jeseník</t>
  </si>
  <si>
    <t>Realizace energeticky úsporných opatření - SŠ zemědělská Přerov</t>
  </si>
  <si>
    <t>Realizace energeticky úsporných opatření - VOŠ a SPŠE - Olomouc</t>
  </si>
  <si>
    <t>Realizace energeticky úsporných opatření - Gymnázium,Olomouc, Čajkovského 9</t>
  </si>
  <si>
    <t>Realizace energeticky úsporných opatření - SŠ Švehlova Prostějov</t>
  </si>
  <si>
    <t>Realizace energeticky úsporných opatření - SŠ designu a módy Prostějov - domov mládeže Palečkova</t>
  </si>
  <si>
    <t>Realizace energeticky úsporných opatření - SŠ zemědělská Olomouc budova školy</t>
  </si>
  <si>
    <t>Realizace energeticky úsporných opatření - VOŠ a SŠ automobilní Zábřeh - domov mládeže</t>
  </si>
  <si>
    <t>Realizace energeticky úsporných opatření - Gymnázium Jeseník - budova nižšího gymnázia</t>
  </si>
  <si>
    <t>Realizace energeticky úsporných opatření - Sigmundova střední škola strojírenská, Lutín - budova školy</t>
  </si>
  <si>
    <t>Realizace energeticky úsporných opatření - Sigmundova střední škola strojírenská, Lutín - domov mládeže</t>
  </si>
  <si>
    <t>Realizace energeticky úsporných opatření - Gymnázium Uničov</t>
  </si>
  <si>
    <t>Realizace energeticky úsporných opatření - VOŠ a SPŠ Šumperk - budova školy</t>
  </si>
  <si>
    <t>Realizace energeticky úsporných opatření - VOŠ a SPŠ Šumperk - domov mládeže</t>
  </si>
  <si>
    <t>Realizace energeticky úsporných opatření - VOŠ a SPŠ Šumperk - tělocvična</t>
  </si>
  <si>
    <t>Realizace energeticky úsporných opatření - SOŠ Šumperk - domov mládeže</t>
  </si>
  <si>
    <t>Podpora technického vybavení dílen - 1. část</t>
  </si>
  <si>
    <t>Podpora technického vybavení dílen - 2. část</t>
  </si>
  <si>
    <t>Podpora technického vybavení dílen - 3. část</t>
  </si>
  <si>
    <t>ORJ 10</t>
  </si>
  <si>
    <t>ORJ 04</t>
  </si>
  <si>
    <t>ORJ 59</t>
  </si>
  <si>
    <t>100407</t>
  </si>
  <si>
    <t>Domov seniorů POHODA Chválkovice - Modernizace hlavní budovy, část A</t>
  </si>
  <si>
    <t>Transformace Vincentina Šternberk - II. Etapa</t>
  </si>
  <si>
    <t>100494</t>
  </si>
  <si>
    <t>100496</t>
  </si>
  <si>
    <t>100497</t>
  </si>
  <si>
    <t>100518</t>
  </si>
  <si>
    <t>100550</t>
  </si>
  <si>
    <t>100790</t>
  </si>
  <si>
    <t>Centrum sociálních služeb Prostějov - rekonstrukce pavilonu - zřízení residenčního zařízení pro chronicky nemocné Alzeheimerovou chorobou</t>
  </si>
  <si>
    <t>Realizace energeticky úsporných opatření - Sociální služby pro seniory Olomouc - ubytovací část</t>
  </si>
  <si>
    <t>Realizace energeticky úsporných opatření - Domov důchodců Šumperk</t>
  </si>
  <si>
    <t>Realizace energeticky úsporných opatření - Domov důchodců Hrubá Voda - budova žen</t>
  </si>
  <si>
    <t>Domov Sněženka Jeseník - Rekonstrukce soc. zařízení a vodoléčby</t>
  </si>
  <si>
    <t>Realizace energeticky úsporných opatření - Penzion pro důchodce Loštice</t>
  </si>
  <si>
    <t>Realizace energeticky úsporných opatření - Domov seniorů POHODA Chválkovice - pavilony A a B</t>
  </si>
  <si>
    <t>Centrum sociálních služeb Prostějov - rekonstrukce budovy 6F - zřízení odlehčovací služby a denního stacionáře</t>
  </si>
  <si>
    <t>II/570 Hněvotín - rekonstrukce silnice</t>
  </si>
  <si>
    <t>Vypořádání staveb po jejich dokončení z minulých let - výkupy pozemků a jiné</t>
  </si>
  <si>
    <t>III/44317 Velká Bystřice – okružní křižovatka</t>
  </si>
  <si>
    <t>II/315 a III/31527 Zábřeh na Moravě - okružní křižovatka ul. Postřelmovská, Čsl. armády</t>
  </si>
  <si>
    <t>Muzeum Komenského v Přerově - Osvětlení na hradě Helfštýn</t>
  </si>
  <si>
    <t>Vlastivědné muzeum v Olomouci - Arboretum Bílá Lhota - zázemí a zemědělské muzeum</t>
  </si>
  <si>
    <t>Realizace energeticky úsporných opatření - SMN a.s. - o.z. Nemocnice Přerov-pavilon interních oborů</t>
  </si>
  <si>
    <t>Realizace energeticky úsporných opatření - SMN a.s. - o.z. Nemocnice Přerov - LDN</t>
  </si>
  <si>
    <t>Realizace energeticky úsporných opatření - SMN a.s. - o.z. Nemocnice Šternberk -pavilon pro dlouhodobě nemocné</t>
  </si>
  <si>
    <t>SMN a.s. - o.z. Nemocnice Přerov - modernizace pavilonu operačních oborů - I. etapa</t>
  </si>
  <si>
    <t>36113899+36513899</t>
  </si>
  <si>
    <t>pol. 6127</t>
  </si>
  <si>
    <t>odbor investic a evropských programů</t>
  </si>
  <si>
    <t>Obchodní akademie, Prostějov, Palackého 18 - Výměna oken</t>
  </si>
  <si>
    <t>RZ - 8123</t>
  </si>
  <si>
    <t>zapojit do roku 2013</t>
  </si>
  <si>
    <t>poznámky</t>
  </si>
  <si>
    <t>8115 - 2012</t>
  </si>
  <si>
    <t>8123 - 2012</t>
  </si>
  <si>
    <t>2229 - 2012</t>
  </si>
  <si>
    <t>SSOK</t>
  </si>
  <si>
    <t>OŠMT</t>
  </si>
  <si>
    <t>UZ 888</t>
  </si>
  <si>
    <t>8115- 2013</t>
  </si>
  <si>
    <t xml:space="preserve">vratky z roku 2012 budeme zapojovat samostatně </t>
  </si>
  <si>
    <t>zapojeno</t>
  </si>
  <si>
    <t>má být zapojeno</t>
  </si>
  <si>
    <t>výdaje 2012 ze dne 9.1.2013</t>
  </si>
  <si>
    <t>výdaje 2012 ze dne 21.1.2014</t>
  </si>
  <si>
    <t>PO - UZ 886</t>
  </si>
  <si>
    <t>PO - UZ 870 - SSOK</t>
  </si>
  <si>
    <t>ORJ 50</t>
  </si>
  <si>
    <t>ORG 60009</t>
  </si>
  <si>
    <t>100317</t>
  </si>
  <si>
    <t>Domov seniorů POHODA Chválkovice - rekonstrukce budovy B</t>
  </si>
  <si>
    <t xml:space="preserve">Sociální služby pro seniory Olomouc - nadstavba stávající budovy </t>
  </si>
  <si>
    <t>Orj 03</t>
  </si>
  <si>
    <t>Orj 01</t>
  </si>
  <si>
    <t>Orj 06</t>
  </si>
  <si>
    <t>Orj 08</t>
  </si>
  <si>
    <t>Orj 14</t>
  </si>
  <si>
    <t>6331, uZ 24</t>
  </si>
  <si>
    <t>Uničov - Šternberk - II/444</t>
  </si>
  <si>
    <t>III/43510 Blatec - průtah</t>
  </si>
  <si>
    <t>III/36719 Pivín - rekonstrukce silnice</t>
  </si>
  <si>
    <t xml:space="preserve">Valšovský Žleb - Dlouhá Loučka - II/449 </t>
  </si>
  <si>
    <t>Ohrozim-obchvat</t>
  </si>
  <si>
    <t>Dub nad Moravou - hranice krajů OL/ZL silnice II/150 - Želátovice - Dřevohostice</t>
  </si>
  <si>
    <t>Valšovský Žleb - Dlouhá Loučka - II/449</t>
  </si>
  <si>
    <t>Realizace energeticky úsporných opatření - SOŠ gastronomie a potravinářství Jeseník</t>
  </si>
  <si>
    <t>Transformace Vincentina Šternberk - I. Etapa</t>
  </si>
  <si>
    <t>ORJ 8</t>
  </si>
  <si>
    <t>ORJ 1</t>
  </si>
  <si>
    <t>ORJ 2</t>
  </si>
  <si>
    <t>ORJ 3</t>
  </si>
  <si>
    <t>ORJ 6</t>
  </si>
  <si>
    <t>ORJ 14</t>
  </si>
  <si>
    <t>Střední průmyslová škola strojnická, Olomouc, tř. 17. listopadu 49 - rekonstrukce osvětlení a elektroinstalace</t>
  </si>
  <si>
    <t>8. Investiční akce Olomouckého kraje 2013</t>
  </si>
  <si>
    <t>Střední škola logistiky a chemie, Olomouc, U Hradiska 29 
- Výměna výtahu v budově domova mládeže</t>
  </si>
  <si>
    <t>Střední škola elektrotechnická, Lipník nad Bečvou, Tyršova 781 
- Oprava balkónů budovy domova mládeže, Bratrská 1114, Lipník nad Bečvou</t>
  </si>
  <si>
    <t>Střední škola designu a módy, Prostějov 
- Výměna výtahu v budově domova mládeže</t>
  </si>
  <si>
    <t>Střední odborná škola, Šumperk, Zemědělská 3 
- Plynová kotelna na domově mládeže</t>
  </si>
  <si>
    <t>Střední odborná škola a Střední odborné učiliště strojírenské a stavební, Jeseník, Dukelská 1240 
- Výměna výtahů v budově domova mládeže.</t>
  </si>
  <si>
    <t>Základní škola Jeseník, Fučíkova 312 
- Rekonstrukce kotelen na pracovišti Fučíkova a Rudná</t>
  </si>
  <si>
    <t>Gymnázium Jiřího Wolkera Prostějov, Kollárova 3 - Sociální zařízení a šatny u tělocvičny a sociální zařízení na budově "B" Kollárova 1</t>
  </si>
  <si>
    <t>Gymnázium, Jeseník, Komenského 281 
- Sociální zařízení tělocvičny vyššího gymnázia</t>
  </si>
  <si>
    <t>Střední průmyslová škola Hranice 
- Oprava sociálního zařízení v hlavní budově školy</t>
  </si>
  <si>
    <t>Gymnázium Jana Blahoslava a Střední pedagogická školu, Přerov, Denisova 3                             - oprava kotelny</t>
  </si>
  <si>
    <t>Vyšší odborná škola a Střední škola automobilní, Zábřeh, U Dráhy 6 
- Rekonstrukce elektroinstalace</t>
  </si>
  <si>
    <t>Střední odborná škola, Šumperk, Zemědělská 3 
- Výměna vodovodního a odpadního řadu a protipožárních dveří</t>
  </si>
  <si>
    <t>Střední odbborná škola a Střední odborné učiliště strojírenské a stavební, Jeseník, Dukelská 1240  - Nákup pozemku</t>
  </si>
  <si>
    <t>Střední odbborná škola a Střední odborné učiliště strojírenské a stavební, Jeseník, Dukelská 1240 - Trafostanice (zpracování projektové dokumentace)</t>
  </si>
  <si>
    <t>Střední zdravotnická škola, Hranice, Studentská 1095 
- Výměna oken a dveří</t>
  </si>
  <si>
    <t>Střední škola polytechnická, Olomouc, Rooseveltova 79 
- Výměna vzduchotechniky ve školní kuchyni</t>
  </si>
  <si>
    <t>Střední škola železniční a stavební, Šumperk, Bulharská 8                                                                                              - Rekonstrukce a doplnění elektroinstalace</t>
  </si>
  <si>
    <t>Základní umělecká škola Iši Krejčího, Olomuc, Na Vozovce 32 
- Statické zajištění budovy</t>
  </si>
  <si>
    <t xml:space="preserve">Aktualizace pasportů </t>
  </si>
  <si>
    <t>Nové Zámky - poskytovatel sociálních služeb - Výměna oken a rekonstrukce venkovního omítkového pláště</t>
  </si>
  <si>
    <t>Domov Na zámečku Rokytnice - Půdní vestavba, (I. etapa)</t>
  </si>
  <si>
    <t>Domov "Na Zámku" Nezamyslice - sanace vlhkého zdiva</t>
  </si>
  <si>
    <t>Domov Na zámečku Rokytnice – odstranění havarijního stavu plynové kotelny</t>
  </si>
  <si>
    <t>Domov důchodců Kobylá nad Vidnavkou 
- Výstavba ČOV</t>
  </si>
  <si>
    <t>Domov Na zámečku Rokytnice 
- Rekonstrukce části kanalizace na nádvoří zámku</t>
  </si>
  <si>
    <t>Domov důchodců Prostějov 
- Vybudování vlastní trafostanice</t>
  </si>
  <si>
    <t>Domov důchodců Šumperk 
- Výstavba trafostanice</t>
  </si>
  <si>
    <t>Domov Na zámečku Rokytnice 
- Sanace krovu a stropní konstrukce</t>
  </si>
  <si>
    <t xml:space="preserve">Středisko sociální prevence Olomouc 
- Výměna oken </t>
  </si>
  <si>
    <t>Domov důchodců Kobylá nad Vidnavkou 
- Oprava venkovního schodiště na "Zámku"  a vstupu</t>
  </si>
  <si>
    <t>Domov důchodců Štíty 
- Oprava střechy</t>
  </si>
  <si>
    <t>Domov důchodců Jesenec 
- Oprava části  střechy na hlavní budově</t>
  </si>
  <si>
    <t xml:space="preserve">Centrum Dominika Kokory 
- Oprava oken </t>
  </si>
  <si>
    <t>Vincentinum - poskytovatel sociálních služem Šternberk 
- Výměna dřevěných oken za plastová (na ulici sadová Sadová)</t>
  </si>
  <si>
    <t>DD Červenka - Oddělení Litovel 
- Rekonstrukce sociálního zařízení na pokojích uživatelů</t>
  </si>
  <si>
    <t>Sušice - přeložka silnice, rekultivace původního úseku</t>
  </si>
  <si>
    <t>Přerov - úprava křižovatky silnic</t>
  </si>
  <si>
    <t>II/434, II/437 Lipník nad Bečvou - okružní křižovatka</t>
  </si>
  <si>
    <t>Bělkovice - Lašťany -obchvat</t>
  </si>
  <si>
    <t>III/44429 Šternberk, Hvězdné údolí, I. etapa</t>
  </si>
  <si>
    <t>Klenovice na Hané - Iváň</t>
  </si>
  <si>
    <t>Ústí – průtah a hranice okr. VS</t>
  </si>
  <si>
    <t>Hanušovice – křižovatka I/11</t>
  </si>
  <si>
    <t>Horní Štěpánov</t>
  </si>
  <si>
    <t>Senice - průtah</t>
  </si>
  <si>
    <t>Drahotuše - průtah</t>
  </si>
  <si>
    <t>Holubice - Hrochov</t>
  </si>
  <si>
    <t>Velký Týnec - rekonstrukce silnice, IV. etapa</t>
  </si>
  <si>
    <t>II/369 Ostružná – Branná – rekonstrukce komunikace</t>
  </si>
  <si>
    <t>Vlastivědné muzeum Jesenicka - Posilující přípojka elektroinstalace pro venkovní akce</t>
  </si>
  <si>
    <t>Muzeum Komenského v Přerově -  Rekonstrukce budovy na Nábřeží Dr. E. Beneše 21 pro účely depozitářů</t>
  </si>
  <si>
    <t xml:space="preserve">Vlastivědné muzeum v Olomouci  
- Rekonstrukce trafostanice </t>
  </si>
  <si>
    <t>OLÚ neurologicko-geriatrický Moravský Beroun - Úprava oddělení III, pavilon 2 pro oddělení DIOP</t>
  </si>
  <si>
    <t>Zdravotnická záchranná služba OK, výjezdové stanoviště Šternberk - kotelna, přípojka, kanalizace</t>
  </si>
  <si>
    <t>Sdružená zařízení pro pěči o dítě v Olomouci - Přestavba dětského domova na zařízení rodinného typu, I.etapa, výměna oken a dveří</t>
  </si>
  <si>
    <t>60005100858</t>
  </si>
  <si>
    <t>60005100859</t>
  </si>
  <si>
    <t>akce zajišťované odborem investic a evropských programů</t>
  </si>
  <si>
    <t>Rekonstrukce nadzemního parkoviště za budovou KÚOK</t>
  </si>
  <si>
    <t>akce zajišťované Kanceláří ředitele</t>
  </si>
  <si>
    <t>EUO - SŠ polygrafická Olomouc</t>
  </si>
  <si>
    <t>Realizace energeticky úsporných opatření - Slovanské gymnázium Olomouc</t>
  </si>
  <si>
    <t>ORJ 52</t>
  </si>
  <si>
    <t>Realizace energeticky úsporných opatření – Střední škola polytechnická Olomouc</t>
  </si>
  <si>
    <t>Energetická úspora na objektu Gymnázia Šternberk</t>
  </si>
  <si>
    <t>Modernizace dílen Střední školy železniční a stavební, Šumperk, Bulharská 8</t>
  </si>
  <si>
    <t>4. Oblast zdravotnictví</t>
  </si>
  <si>
    <t>5. Oblast informačních technologií</t>
  </si>
  <si>
    <t>b) akce zajišťované Správou silnic Olomouckého kraje (ORG 1600)</t>
  </si>
  <si>
    <t xml:space="preserve"> - UZ 886</t>
  </si>
  <si>
    <t>Muzeum silnic ve Vikýřovicích u Šumperka</t>
  </si>
  <si>
    <t>Realizace energetických úsporných opatření - budova v Litovli</t>
  </si>
  <si>
    <t>Otaslavice</t>
  </si>
  <si>
    <t>SPŠ Přerov, Havlíčkova - výstavba tělocvičny</t>
  </si>
  <si>
    <t>Střední odborné učiliště potravinářské, Jeseník, U Jatek 8 - Protipovodňová opatření včetně úprav svahu</t>
  </si>
  <si>
    <t>Střední škola designu a módy, Prostějov - Výměna výtahu v budově domova mládeže</t>
  </si>
  <si>
    <t>SCHOLA SERVIS - zařízení pro další vzdělávání pedagogických pracovníků a středisko služeb školám, Prostějov, příspěvková organizace - Výměna stupaček</t>
  </si>
  <si>
    <t>Střední odborná škola, Šumperk, Zemědělská 3 - Plynová kotelna na domově mládeže</t>
  </si>
  <si>
    <t xml:space="preserve">Podpora technického a přírodovědného vzdělávání v Olomouckém kraji </t>
  </si>
  <si>
    <t>SŠTZ Mohelnice - přístavba strojních dílen</t>
  </si>
  <si>
    <t>SŠ polytechnická Olomouc - nástavba dílen</t>
  </si>
  <si>
    <t>100520</t>
  </si>
  <si>
    <t>100524</t>
  </si>
  <si>
    <t>100525</t>
  </si>
  <si>
    <t>100844</t>
  </si>
  <si>
    <t>100849</t>
  </si>
  <si>
    <t xml:space="preserve">Vincentinum - poskytovatel sociálních služeb Šternberk - Pracovní dílny pro klienty </t>
  </si>
  <si>
    <t>Nové Zámky - poskytovatel sociálních služeb - výměna oken a rekonstrukce venkovního omítkového pláště</t>
  </si>
  <si>
    <t>Domov Paprsek Olšany - Půdní vestavba</t>
  </si>
  <si>
    <t xml:space="preserve">Domov důchodců Prostějov -Rekonstrukce kuchyně  </t>
  </si>
  <si>
    <t>Domov důchodců Kobylá nad Vidnavkou - Výstavba ČOV</t>
  </si>
  <si>
    <t>Domov Na zámečku Rokytnice - Sanace krovu a stropní konstrukce</t>
  </si>
  <si>
    <t>100416</t>
  </si>
  <si>
    <t>Domov seniorů POHODA Chválkovice - rekonstrukce budovy A</t>
  </si>
  <si>
    <t>100823</t>
  </si>
  <si>
    <t>Domov seniorů POHODA Chválkovice - Modernizace hlavní budovy, část B a C</t>
  </si>
  <si>
    <t>100824</t>
  </si>
  <si>
    <t>Domov důchodců Prostějov - Modernizace sociálních zařízení</t>
  </si>
  <si>
    <t>Revitalizace areálu staré nemocnice v Prostějově III.etapa</t>
  </si>
  <si>
    <t>100827</t>
  </si>
  <si>
    <t>II/150 Dub nad Moravou – hranice okresu PV – rekonstrukce silnice</t>
  </si>
  <si>
    <t>Dub - Tovačov, stavební úpravy (křižovatka s II/150 po křižovatku do Tovačova do II/435)</t>
  </si>
  <si>
    <t>III/4436, III/44310 Tovéř - okružní křižovatka</t>
  </si>
  <si>
    <t>8. Přehled financování investičních akcí v roce 2013</t>
  </si>
  <si>
    <t>53190877+53515835</t>
  </si>
  <si>
    <t>II/439 Ústí - průtah a hranice okr. VS</t>
  </si>
  <si>
    <t>II/449 Senice - průtah</t>
  </si>
  <si>
    <t>III/44029 Drahotuše - průtah</t>
  </si>
  <si>
    <t>III/37354 Holubice - Hrochov</t>
  </si>
  <si>
    <t>II/433, III/36711 Výšovice průtah</t>
  </si>
  <si>
    <t>III/3679 Čechůvky – Kralice na Hané</t>
  </si>
  <si>
    <t>III/43415 Radslavice – Grymov</t>
  </si>
  <si>
    <t>Silnice II/444 Uničov – Šternberk, intravilány obcí</t>
  </si>
  <si>
    <t>Čechy pod Kosířem - Rekonstrukce a využití objektů, 2. etapa</t>
  </si>
  <si>
    <t>PO UZ 13+UZ 24</t>
  </si>
  <si>
    <t>SMN a.s. – o.z. Nemocnice Prostějov – Vybudování dětské jednotky pro dlouhodobou péči</t>
  </si>
  <si>
    <t>SMN a.s. – o.z. Nemocnice Prostějov – rekonstrukce JIP - interna</t>
  </si>
  <si>
    <t>SMN a.s. – o.z. Nemocnice Prostějov – Zřízení centra sportovní medicíny</t>
  </si>
  <si>
    <t>SMN a.s. – o.z. Nemocnice Přerov – vstupy do pavilonu operačních oborů</t>
  </si>
  <si>
    <t>SMN a.s. – o.z. Nemocnice Šternberk – Rekonstrukce výtahu - dialýza</t>
  </si>
  <si>
    <t>Komplexní program modernizace geriatrického oddělení OLÚ Moravský Beroun</t>
  </si>
  <si>
    <t>SMN a. s. – o. z. Nemocnice Přerov – modernizace pavilonu radiodiagnostiky</t>
  </si>
  <si>
    <t>SMN a. s. – o. z. Nemocnice Přerov – přístrojové vybavení radiodiagnostického oddělení</t>
  </si>
  <si>
    <t>6. Investiční výdaje odborů</t>
  </si>
  <si>
    <t xml:space="preserve"> - </t>
  </si>
  <si>
    <t>Švehlova střední škola polytechnická, nám. Spojenců 17, Prostějov - výměna střešní krytiny</t>
  </si>
  <si>
    <t>Střední zdravotnická škola a Vyšší odborná škola zdravotnická Emanuela Pöttinga a Jazyková škola s právem státní jazykové zkoušky, Pöttingova 2, Olomouc - úprava prostor v souvislosti se vznikem speciálního pedagogického centra</t>
  </si>
  <si>
    <t>Hotelová škola Vincenze Priessnitze, Dukelská 680, Jeseník - výměna ústředního topení</t>
  </si>
  <si>
    <t>Střední odborná škola, Komenského 677, Litovel - oprava střešní konstrukce zadního traktu dílen pracoviště na Uničovské ulici, Litovel</t>
  </si>
  <si>
    <t>Střední škola logistiky a chemie, U Hradiska 29, Olomouc - výměna oken v budově domova mládeže</t>
  </si>
  <si>
    <t>Střední škola řezbářská, Nádražní 146, Tovačov - výměna střešní krytiny</t>
  </si>
  <si>
    <t>Střední škola železniční a stavební, Bulharská 8, Šumperk - havarijní situace při vypuštění a opětovném napuštění topného systému</t>
  </si>
  <si>
    <t>Dětský domov a Školní jídelna, Priessnitzova 405, Jeseník - oprava balkónů a terasy</t>
  </si>
  <si>
    <t>Základní škola, Fučíkova 312, Jeseník - rekonstrukce kotelen na pracovišti Fučíkova a Rudná</t>
  </si>
  <si>
    <t>Gymnázium, Čajkovského 9,  Olomouc - nákup čistícího stroje na údržbu hrací plochy</t>
  </si>
  <si>
    <t>Střední průmyslová škola strojnická, tř. 17. listopadu 49, Olomouc - pořízení nového serveru</t>
  </si>
  <si>
    <t>Střední lesnická škola, Jurikova 588, Hranice - nákup odvozní soupravy</t>
  </si>
  <si>
    <t>Střední odborná škola a Střední odborné učiliště strojírenské a stavební, Dukelská 1240, Jeseník - trafostanice (zpracování projektové dokumentace)</t>
  </si>
  <si>
    <t>Střední škola železniční a stavební, Bulharská 8, Šumperk - rekonstrukce a stavební úpravy</t>
  </si>
  <si>
    <t>Muzeum a galerie v Prostějově, nám. T.G. Masaryka 2, Prostějov - stálá historická a archeologická expozice</t>
  </si>
  <si>
    <t xml:space="preserve"> - dovybavení interiéru kanceláře náměstka hejtmana Mgr. Rašťáka</t>
  </si>
  <si>
    <t xml:space="preserve"> - projekty financované metodou EPC</t>
  </si>
  <si>
    <t>PO UZ 24</t>
  </si>
  <si>
    <t>Vlastivědné muzeum, nám. Republiky 5/6, Olomouc - závěsný systém na uložení koberců</t>
  </si>
  <si>
    <t>PO UZ 24, Pol. 6351</t>
  </si>
  <si>
    <t>PO UZ 24, Pol. 5331</t>
  </si>
  <si>
    <t>PO UZ 13</t>
  </si>
  <si>
    <t>PO UZ 13, Pol. 5331</t>
  </si>
  <si>
    <t>PO UZ 13, Pol. 6351</t>
  </si>
  <si>
    <t xml:space="preserve">Vlastivědné muzeum, nám. Republiky 5/6, Olomouc - ALMA MATER OLOMUCENSIS - II. ETAPA </t>
  </si>
  <si>
    <t xml:space="preserve">Vlastivědné muzeum, nám. Republiky 5/6, Olomouc - Expozice etnografie a osobností kraje </t>
  </si>
  <si>
    <t>Muzeum Komenského, Horní náměstí 7, Přerov - Sanace zdiva hradu Helfštýn</t>
  </si>
  <si>
    <t>Vlastivědné muzeum, nám. Republiky 5/6, Olomouc - oprava plynové kotelny</t>
  </si>
  <si>
    <t>Archeologické centrum, U Hradiska 42/6, Olomouc - detektory kovů</t>
  </si>
  <si>
    <t>Vlastivědné muzeum, nám. Republiky 5/6, Olomouc - provoz nových stálých expozic</t>
  </si>
  <si>
    <t>Vlastivědné muzeum, Hlavní tř. 22, Šumperk - stálá expozice v Mohelnici</t>
  </si>
  <si>
    <t xml:space="preserve"> - technické zhodnocení budov KÚOK </t>
  </si>
  <si>
    <t xml:space="preserve"> - Rekonstrukce nadzemního parkoviště za budovou KÚOK</t>
  </si>
  <si>
    <t xml:space="preserve"> - nákup a technické zhodnocení softwaru: TMG 2010 Workroup a IntraDoc</t>
  </si>
  <si>
    <t xml:space="preserve"> - nákup softwaru: Symantec BrightMail Security Gateway, směrovače CISCO ISR G2 3945 a EXP5000 Expansion Unit</t>
  </si>
  <si>
    <t>Brníčko - Kolšov</t>
  </si>
  <si>
    <t>Těšetice - Drahanovice</t>
  </si>
  <si>
    <t>Jeřmaň - Kozov</t>
  </si>
  <si>
    <t>Leština - most ev. č. 315-028</t>
  </si>
  <si>
    <t>Unčovice - most ev. č. 449-040</t>
  </si>
  <si>
    <t>Samotišky - Svatý Kopeček</t>
  </si>
  <si>
    <t>Střední odborná škola a Střední odborné učiliště strojírenské a stavební, Dukelská 1240, Jeseník - výkup pozemku z vlastnictví TJ Jeseník                                                                                                                                           Střední škola zemědělská, Přerov - odkupy pozemků</t>
  </si>
  <si>
    <t xml:space="preserve">Odkup pozemků z vlastnictví obce Lipová-lázně a spoluvlastnictví p. Karla Marka </t>
  </si>
  <si>
    <t>Střední škola železniční a stavební, Bulharská 8, Šumperk - rekonstrukce a doplnění elektroinstalace</t>
  </si>
  <si>
    <t>Domov Na zámečku Rokytnice - rekonstrukce zámeckého parku a jeho zpřístupnění veřejnosti</t>
  </si>
  <si>
    <t>100324</t>
  </si>
  <si>
    <t>Rekonstrukce zahrady v Domově důchodců Červenka</t>
  </si>
  <si>
    <t>100530</t>
  </si>
  <si>
    <t>100325</t>
  </si>
  <si>
    <t>Domov Větrný mlýn Skalička - revitalizace zámeckého parku</t>
  </si>
  <si>
    <t>100336</t>
  </si>
  <si>
    <t>ORJ 59, UZ 88x</t>
  </si>
  <si>
    <t>ORJ 59, UZ 0</t>
  </si>
  <si>
    <t>ORJ 59, UZ 11, 88x</t>
  </si>
  <si>
    <t>Revitalizace zámeckého parku s přilehlými plochami v Nových Zámcích</t>
  </si>
  <si>
    <t>Čechy pod Kosířem, revitalizace parku</t>
  </si>
  <si>
    <t xml:space="preserve">SMN a. s. – o. z. Nemocnice Přerov - modernizace pavilonu interních oborů - II. etapa </t>
  </si>
  <si>
    <t>SMN a. s. – o. z. Nemocnice Přerov - modernizace pavilonu operačních oborů - I. etapa</t>
  </si>
  <si>
    <t>SMN a.s. – o.z. Nemocnice Šternberk - Rekonstrukce porodnice</t>
  </si>
  <si>
    <t>ORJ 59 UZ 36 + 25</t>
  </si>
  <si>
    <t>38587005 + 38587505</t>
  </si>
  <si>
    <t>d) Financováno z účelové dotace poskytnuté ze státního rozpočtu a ROP Střední Morava</t>
  </si>
  <si>
    <t>účelové dotace</t>
  </si>
  <si>
    <t xml:space="preserve"> - účelové dotace</t>
  </si>
  <si>
    <t>b) akce zajišťované odborem majetkovým a právním</t>
  </si>
  <si>
    <t>akce zajišťované příslušnými odbory</t>
  </si>
  <si>
    <t>akce zajišťované odborem investic a evropských programů - účelová dotace z MŽP, SFŽP a ROP Střední Morava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</si>
</sst>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CE"/>
      <family val="2"/>
      <charset val="238"/>
    </font>
    <font>
      <i/>
      <sz val="10"/>
      <name val="Arial"/>
      <family val="2"/>
      <charset val="238"/>
    </font>
    <font>
      <sz val="9"/>
      <name val="Arial CE"/>
      <family val="2"/>
      <charset val="238"/>
    </font>
    <font>
      <i/>
      <sz val="10"/>
      <name val="Arial CE"/>
      <charset val="238"/>
    </font>
    <font>
      <b/>
      <i/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i/>
      <sz val="9"/>
      <name val="Arial"/>
      <family val="2"/>
      <charset val="238"/>
    </font>
    <font>
      <sz val="11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0"/>
      <color rgb="FFFFFF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7030A0"/>
      <name val="Arial"/>
      <family val="2"/>
      <charset val="238"/>
    </font>
    <font>
      <b/>
      <i/>
      <sz val="10"/>
      <color rgb="FF7030A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rgb="FF00B0F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i/>
      <sz val="10"/>
      <color rgb="FF00B0F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sz val="10"/>
      <color theme="9"/>
      <name val="Arial"/>
      <family val="2"/>
      <charset val="238"/>
    </font>
    <font>
      <b/>
      <sz val="10"/>
      <color rgb="FFFFC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</font>
    <font>
      <sz val="10"/>
      <name val="Arial CE"/>
      <family val="2"/>
      <charset val="238"/>
    </font>
    <font>
      <sz val="10"/>
      <color rgb="FFFFFF00"/>
      <name val="Arial"/>
      <family val="2"/>
      <charset val="238"/>
    </font>
    <font>
      <b/>
      <i/>
      <sz val="10"/>
      <color rgb="FFFFFF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10"/>
      <color rgb="FF00B050"/>
      <name val="Arial"/>
      <family val="2"/>
      <charset val="238"/>
    </font>
    <font>
      <i/>
      <sz val="10"/>
      <color theme="9"/>
      <name val="Arial"/>
      <family val="2"/>
      <charset val="238"/>
    </font>
    <font>
      <b/>
      <i/>
      <sz val="10"/>
      <color rgb="FFFFC000"/>
      <name val="Arial"/>
      <family val="2"/>
      <charset val="238"/>
    </font>
    <font>
      <b/>
      <sz val="10"/>
      <color rgb="FF00206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9" fillId="0" borderId="0"/>
    <xf numFmtId="0" fontId="1" fillId="0" borderId="0"/>
    <xf numFmtId="0" fontId="1" fillId="0" borderId="0"/>
  </cellStyleXfs>
  <cellXfs count="529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2" borderId="0" xfId="4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8" fillId="0" borderId="8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right"/>
    </xf>
    <xf numFmtId="0" fontId="9" fillId="0" borderId="0" xfId="0" applyFont="1" applyFill="1"/>
    <xf numFmtId="4" fontId="9" fillId="0" borderId="10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3" fillId="0" borderId="0" xfId="1" applyAlignment="1">
      <alignment horizontal="right"/>
    </xf>
    <xf numFmtId="4" fontId="3" fillId="0" borderId="0" xfId="1" applyNumberFormat="1"/>
    <xf numFmtId="0" fontId="3" fillId="0" borderId="0" xfId="1"/>
    <xf numFmtId="0" fontId="29" fillId="0" borderId="0" xfId="1" applyFont="1" applyAlignment="1">
      <alignment horizontal="right"/>
    </xf>
    <xf numFmtId="0" fontId="8" fillId="0" borderId="15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Alignment="1">
      <alignment horizontal="left"/>
    </xf>
    <xf numFmtId="0" fontId="7" fillId="2" borderId="8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0" borderId="0" xfId="1" applyFont="1"/>
    <xf numFmtId="0" fontId="3" fillId="0" borderId="0" xfId="1" applyBorder="1"/>
    <xf numFmtId="0" fontId="7" fillId="0" borderId="17" xfId="1" applyFont="1" applyBorder="1"/>
    <xf numFmtId="0" fontId="3" fillId="0" borderId="17" xfId="1" applyBorder="1"/>
    <xf numFmtId="0" fontId="3" fillId="0" borderId="17" xfId="1" applyBorder="1" applyAlignment="1">
      <alignment horizontal="right"/>
    </xf>
    <xf numFmtId="0" fontId="3" fillId="0" borderId="7" xfId="1" applyBorder="1"/>
    <xf numFmtId="4" fontId="22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4" fontId="6" fillId="0" borderId="21" xfId="1" applyNumberFormat="1" applyFont="1" applyFill="1" applyBorder="1" applyAlignment="1">
      <alignment horizontal="center" vertical="center"/>
    </xf>
    <xf numFmtId="0" fontId="2" fillId="0" borderId="20" xfId="1" applyFont="1" applyBorder="1"/>
    <xf numFmtId="4" fontId="6" fillId="0" borderId="4" xfId="1" applyNumberFormat="1" applyFont="1" applyBorder="1"/>
    <xf numFmtId="4" fontId="6" fillId="0" borderId="5" xfId="1" applyNumberFormat="1" applyFont="1" applyBorder="1"/>
    <xf numFmtId="0" fontId="10" fillId="0" borderId="20" xfId="1" applyFont="1" applyBorder="1"/>
    <xf numFmtId="4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4" fontId="3" fillId="0" borderId="0" xfId="1" applyNumberFormat="1" applyFont="1" applyFill="1" applyBorder="1" applyAlignment="1">
      <alignment horizontal="center" vertical="center"/>
    </xf>
    <xf numFmtId="0" fontId="10" fillId="0" borderId="20" xfId="1" applyFont="1" applyFill="1" applyBorder="1"/>
    <xf numFmtId="0" fontId="2" fillId="0" borderId="7" xfId="1" applyFont="1" applyBorder="1" applyAlignment="1">
      <alignment horizontal="left"/>
    </xf>
    <xf numFmtId="4" fontId="2" fillId="0" borderId="1" xfId="1" applyNumberFormat="1" applyFont="1" applyBorder="1"/>
    <xf numFmtId="4" fontId="2" fillId="0" borderId="21" xfId="1" applyNumberFormat="1" applyFont="1" applyBorder="1"/>
    <xf numFmtId="0" fontId="23" fillId="0" borderId="0" xfId="1" applyFont="1" applyBorder="1" applyAlignment="1">
      <alignment horizontal="left"/>
    </xf>
    <xf numFmtId="4" fontId="2" fillId="0" borderId="0" xfId="1" applyNumberFormat="1" applyFont="1" applyBorder="1"/>
    <xf numFmtId="0" fontId="3" fillId="0" borderId="0" xfId="1" applyFont="1"/>
    <xf numFmtId="0" fontId="9" fillId="0" borderId="0" xfId="1" applyFont="1" applyBorder="1" applyAlignment="1">
      <alignment horizontal="left"/>
    </xf>
    <xf numFmtId="0" fontId="20" fillId="0" borderId="20" xfId="1" applyFont="1" applyBorder="1" applyAlignment="1">
      <alignment horizontal="left"/>
    </xf>
    <xf numFmtId="4" fontId="20" fillId="0" borderId="4" xfId="1" applyNumberFormat="1" applyFont="1" applyBorder="1"/>
    <xf numFmtId="0" fontId="20" fillId="0" borderId="0" xfId="1" applyFont="1"/>
    <xf numFmtId="0" fontId="24" fillId="0" borderId="0" xfId="1" applyFont="1"/>
    <xf numFmtId="0" fontId="2" fillId="0" borderId="0" xfId="1" applyFont="1" applyAlignment="1">
      <alignment horizontal="right"/>
    </xf>
    <xf numFmtId="4" fontId="2" fillId="0" borderId="0" xfId="1" applyNumberFormat="1" applyFont="1"/>
    <xf numFmtId="0" fontId="25" fillId="0" borderId="0" xfId="1" applyFont="1"/>
    <xf numFmtId="4" fontId="10" fillId="2" borderId="0" xfId="0" applyNumberFormat="1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left" vertical="center"/>
    </xf>
    <xf numFmtId="0" fontId="7" fillId="0" borderId="0" xfId="1" applyFont="1" applyFill="1" applyAlignment="1">
      <alignment horizontal="left"/>
    </xf>
    <xf numFmtId="0" fontId="26" fillId="0" borderId="0" xfId="1" applyFont="1" applyFill="1"/>
    <xf numFmtId="4" fontId="26" fillId="0" borderId="0" xfId="1" applyNumberFormat="1" applyFont="1" applyFill="1"/>
    <xf numFmtId="0" fontId="3" fillId="0" borderId="0" xfId="1" applyFill="1"/>
    <xf numFmtId="0" fontId="2" fillId="0" borderId="0" xfId="1" applyFont="1" applyFill="1" applyAlignment="1">
      <alignment horizontal="left"/>
    </xf>
    <xf numFmtId="0" fontId="6" fillId="0" borderId="0" xfId="1" applyFont="1" applyFill="1" applyAlignment="1">
      <alignment horizontal="left"/>
    </xf>
    <xf numFmtId="0" fontId="3" fillId="0" borderId="0" xfId="1" applyFont="1" applyFill="1"/>
    <xf numFmtId="0" fontId="7" fillId="0" borderId="0" xfId="1" applyFont="1" applyFill="1" applyBorder="1" applyAlignment="1">
      <alignment horizontal="left"/>
    </xf>
    <xf numFmtId="0" fontId="5" fillId="0" borderId="0" xfId="1" applyFont="1" applyFill="1" applyAlignment="1">
      <alignment horizontal="left"/>
    </xf>
    <xf numFmtId="0" fontId="26" fillId="0" borderId="0" xfId="1" applyFont="1"/>
    <xf numFmtId="0" fontId="9" fillId="0" borderId="0" xfId="1" applyFont="1" applyFill="1" applyAlignment="1">
      <alignment horizontal="left"/>
    </xf>
    <xf numFmtId="0" fontId="3" fillId="0" borderId="0" xfId="1" applyFont="1" applyFill="1" applyAlignment="1">
      <alignment horizontal="right"/>
    </xf>
    <xf numFmtId="0" fontId="8" fillId="0" borderId="7" xfId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/>
    </xf>
    <xf numFmtId="4" fontId="3" fillId="0" borderId="1" xfId="1" applyNumberFormat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left" vertical="center"/>
    </xf>
    <xf numFmtId="4" fontId="9" fillId="0" borderId="4" xfId="1" applyNumberFormat="1" applyFont="1" applyFill="1" applyBorder="1" applyAlignment="1">
      <alignment horizontal="right" vertical="center"/>
    </xf>
    <xf numFmtId="164" fontId="9" fillId="0" borderId="5" xfId="1" applyNumberFormat="1" applyFont="1" applyFill="1" applyBorder="1"/>
    <xf numFmtId="164" fontId="10" fillId="0" borderId="5" xfId="1" applyNumberFormat="1" applyFont="1" applyFill="1" applyBorder="1" applyAlignment="1">
      <alignment vertical="center"/>
    </xf>
    <xf numFmtId="0" fontId="2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4" fontId="11" fillId="2" borderId="0" xfId="1" applyNumberFormat="1" applyFont="1" applyFill="1" applyBorder="1" applyAlignment="1">
      <alignment horizontal="right" vertical="center"/>
    </xf>
    <xf numFmtId="0" fontId="10" fillId="0" borderId="20" xfId="1" applyFont="1" applyFill="1" applyBorder="1" applyAlignment="1">
      <alignment vertical="center" wrapText="1"/>
    </xf>
    <xf numFmtId="4" fontId="10" fillId="2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3" fillId="0" borderId="0" xfId="1" applyBorder="1" applyAlignment="1">
      <alignment vertical="center"/>
    </xf>
    <xf numFmtId="3" fontId="11" fillId="2" borderId="0" xfId="1" applyNumberFormat="1" applyFont="1" applyFill="1" applyBorder="1" applyAlignment="1">
      <alignment horizontal="right" vertical="center"/>
    </xf>
    <xf numFmtId="0" fontId="26" fillId="0" borderId="0" xfId="1" applyFont="1" applyBorder="1"/>
    <xf numFmtId="0" fontId="9" fillId="2" borderId="0" xfId="1" applyFont="1" applyFill="1" applyBorder="1" applyAlignment="1">
      <alignment horizontal="left" vertical="center"/>
    </xf>
    <xf numFmtId="164" fontId="15" fillId="0" borderId="5" xfId="1" applyNumberFormat="1" applyFont="1" applyFill="1" applyBorder="1" applyAlignment="1">
      <alignment vertical="center"/>
    </xf>
    <xf numFmtId="0" fontId="27" fillId="0" borderId="0" xfId="1" applyFont="1"/>
    <xf numFmtId="0" fontId="10" fillId="0" borderId="0" xfId="1" applyFont="1"/>
    <xf numFmtId="0" fontId="8" fillId="2" borderId="0" xfId="1" applyFont="1" applyFill="1" applyBorder="1" applyAlignment="1">
      <alignment vertical="center" wrapText="1"/>
    </xf>
    <xf numFmtId="0" fontId="7" fillId="2" borderId="8" xfId="1" applyFont="1" applyFill="1" applyBorder="1" applyAlignment="1">
      <alignment vertical="center" wrapText="1"/>
    </xf>
    <xf numFmtId="4" fontId="2" fillId="2" borderId="8" xfId="1" applyNumberFormat="1" applyFont="1" applyFill="1" applyBorder="1" applyAlignment="1">
      <alignment vertical="center"/>
    </xf>
    <xf numFmtId="164" fontId="18" fillId="0" borderId="8" xfId="1" applyNumberFormat="1" applyFont="1" applyFill="1" applyBorder="1" applyAlignment="1">
      <alignment vertical="center"/>
    </xf>
    <xf numFmtId="0" fontId="28" fillId="0" borderId="0" xfId="1" applyFont="1"/>
    <xf numFmtId="0" fontId="10" fillId="0" borderId="0" xfId="1" applyFont="1" applyBorder="1"/>
    <xf numFmtId="4" fontId="10" fillId="0" borderId="0" xfId="1" applyNumberFormat="1" applyFont="1" applyBorder="1"/>
    <xf numFmtId="4" fontId="9" fillId="0" borderId="13" xfId="1" applyNumberFormat="1" applyFont="1" applyFill="1" applyBorder="1" applyAlignment="1">
      <alignment horizontal="right" vertical="center"/>
    </xf>
    <xf numFmtId="4" fontId="10" fillId="0" borderId="0" xfId="1" applyNumberFormat="1" applyFont="1" applyFill="1" applyBorder="1" applyAlignment="1">
      <alignment horizontal="right"/>
    </xf>
    <xf numFmtId="4" fontId="10" fillId="0" borderId="4" xfId="1" applyNumberFormat="1" applyFont="1" applyBorder="1" applyAlignment="1">
      <alignment vertical="center"/>
    </xf>
    <xf numFmtId="0" fontId="3" fillId="0" borderId="0" xfId="1" applyAlignment="1">
      <alignment vertical="center"/>
    </xf>
    <xf numFmtId="4" fontId="10" fillId="0" borderId="13" xfId="1" applyNumberFormat="1" applyFont="1" applyFill="1" applyBorder="1"/>
    <xf numFmtId="4" fontId="10" fillId="0" borderId="13" xfId="1" applyNumberFormat="1" applyFont="1" applyFill="1" applyBorder="1" applyAlignment="1">
      <alignment vertical="center"/>
    </xf>
    <xf numFmtId="0" fontId="2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6" fillId="0" borderId="0" xfId="1" applyFont="1" applyFill="1" applyBorder="1" applyAlignment="1">
      <alignment horizontal="left"/>
    </xf>
    <xf numFmtId="0" fontId="17" fillId="0" borderId="0" xfId="1" applyFont="1" applyFill="1" applyBorder="1"/>
    <xf numFmtId="0" fontId="17" fillId="0" borderId="0" xfId="1" applyFont="1" applyFill="1" applyBorder="1" applyAlignment="1">
      <alignment horizontal="left"/>
    </xf>
    <xf numFmtId="4" fontId="10" fillId="0" borderId="0" xfId="1" applyNumberFormat="1" applyFont="1" applyFill="1" applyBorder="1"/>
    <xf numFmtId="164" fontId="17" fillId="0" borderId="0" xfId="1" applyNumberFormat="1" applyFont="1" applyFill="1" applyBorder="1"/>
    <xf numFmtId="0" fontId="18" fillId="0" borderId="8" xfId="1" applyFont="1" applyFill="1" applyBorder="1" applyAlignment="1">
      <alignment horizontal="left"/>
    </xf>
    <xf numFmtId="4" fontId="15" fillId="0" borderId="8" xfId="1" applyNumberFormat="1" applyFont="1" applyFill="1" applyBorder="1"/>
    <xf numFmtId="164" fontId="15" fillId="0" borderId="8" xfId="1" applyNumberFormat="1" applyFont="1" applyFill="1" applyBorder="1"/>
    <xf numFmtId="3" fontId="3" fillId="0" borderId="0" xfId="1" applyNumberFormat="1" applyFill="1"/>
    <xf numFmtId="4" fontId="3" fillId="0" borderId="0" xfId="1" applyNumberFormat="1" applyFill="1"/>
    <xf numFmtId="164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/>
    <xf numFmtId="4" fontId="3" fillId="0" borderId="0" xfId="1" applyNumberFormat="1" applyFont="1" applyFill="1"/>
    <xf numFmtId="0" fontId="2" fillId="2" borderId="0" xfId="1" applyFont="1" applyFill="1" applyBorder="1" applyAlignment="1"/>
    <xf numFmtId="0" fontId="3" fillId="2" borderId="0" xfId="1" applyFont="1" applyFill="1" applyBorder="1" applyAlignment="1">
      <alignment horizontal="center" vertical="center"/>
    </xf>
    <xf numFmtId="0" fontId="3" fillId="2" borderId="0" xfId="1" applyFill="1" applyBorder="1"/>
    <xf numFmtId="4" fontId="9" fillId="0" borderId="0" xfId="1" applyNumberFormat="1" applyFont="1" applyFill="1" applyBorder="1" applyAlignment="1">
      <alignment horizontal="right" vertical="center"/>
    </xf>
    <xf numFmtId="164" fontId="9" fillId="0" borderId="5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3" fillId="2" borderId="0" xfId="1" applyFill="1"/>
    <xf numFmtId="0" fontId="3" fillId="2" borderId="0" xfId="1" applyFill="1" applyAlignment="1">
      <alignment vertical="center"/>
    </xf>
    <xf numFmtId="0" fontId="3" fillId="2" borderId="0" xfId="1" applyFill="1" applyAlignment="1">
      <alignment wrapText="1"/>
    </xf>
    <xf numFmtId="0" fontId="3" fillId="2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3" fontId="10" fillId="0" borderId="0" xfId="1" applyNumberFormat="1" applyFont="1" applyFill="1" applyBorder="1" applyAlignment="1">
      <alignment horizontal="left"/>
    </xf>
    <xf numFmtId="0" fontId="3" fillId="0" borderId="0" xfId="1" applyFont="1" applyFill="1" applyAlignment="1">
      <alignment horizontal="left"/>
    </xf>
    <xf numFmtId="0" fontId="21" fillId="0" borderId="0" xfId="1" applyFont="1" applyFill="1" applyAlignment="1">
      <alignment horizontal="left"/>
    </xf>
    <xf numFmtId="0" fontId="26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3" fontId="10" fillId="0" borderId="0" xfId="1" applyNumberFormat="1" applyFont="1" applyFill="1" applyBorder="1" applyAlignment="1">
      <alignment horizontal="left" vertical="center"/>
    </xf>
    <xf numFmtId="0" fontId="3" fillId="4" borderId="0" xfId="1" applyFont="1" applyFill="1" applyAlignment="1">
      <alignment horizontal="left"/>
    </xf>
    <xf numFmtId="0" fontId="10" fillId="2" borderId="0" xfId="1" applyFont="1" applyFill="1" applyBorder="1" applyAlignment="1">
      <alignment vertical="center" wrapText="1"/>
    </xf>
    <xf numFmtId="3" fontId="3" fillId="0" borderId="0" xfId="1" applyNumberFormat="1" applyFont="1" applyFill="1" applyAlignment="1">
      <alignment horizontal="left"/>
    </xf>
    <xf numFmtId="0" fontId="3" fillId="0" borderId="0" xfId="1" applyFont="1" applyAlignment="1">
      <alignment horizontal="left"/>
    </xf>
    <xf numFmtId="49" fontId="3" fillId="0" borderId="0" xfId="1" applyNumberFormat="1" applyFont="1" applyFill="1" applyAlignment="1">
      <alignment horizontal="left"/>
    </xf>
    <xf numFmtId="49" fontId="3" fillId="0" borderId="0" xfId="1" applyNumberFormat="1" applyFont="1" applyFill="1" applyAlignment="1">
      <alignment horizontal="left" vertical="center"/>
    </xf>
    <xf numFmtId="4" fontId="30" fillId="0" borderId="0" xfId="1" applyNumberFormat="1" applyFont="1" applyBorder="1"/>
    <xf numFmtId="0" fontId="10" fillId="0" borderId="0" xfId="1" applyFont="1" applyFill="1" applyAlignment="1">
      <alignment horizontal="left" vertical="center"/>
    </xf>
    <xf numFmtId="0" fontId="27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31" fillId="0" borderId="0" xfId="1" applyFont="1" applyFill="1" applyAlignment="1">
      <alignment horizontal="center"/>
    </xf>
    <xf numFmtId="0" fontId="31" fillId="0" borderId="0" xfId="1" applyFont="1" applyFill="1" applyBorder="1" applyAlignment="1">
      <alignment horizontal="center"/>
    </xf>
    <xf numFmtId="0" fontId="32" fillId="0" borderId="0" xfId="1" applyFont="1" applyFill="1" applyAlignment="1">
      <alignment horizontal="center"/>
    </xf>
    <xf numFmtId="0" fontId="31" fillId="0" borderId="0" xfId="1" applyFont="1" applyFill="1" applyBorder="1" applyAlignment="1">
      <alignment horizontal="left"/>
    </xf>
    <xf numFmtId="4" fontId="26" fillId="0" borderId="0" xfId="1" applyNumberFormat="1" applyFont="1"/>
    <xf numFmtId="4" fontId="27" fillId="0" borderId="0" xfId="1" applyNumberFormat="1" applyFont="1" applyAlignment="1">
      <alignment vertical="center"/>
    </xf>
    <xf numFmtId="0" fontId="3" fillId="5" borderId="0" xfId="1" applyFont="1" applyFill="1" applyAlignment="1">
      <alignment horizontal="left"/>
    </xf>
    <xf numFmtId="0" fontId="3" fillId="3" borderId="0" xfId="1" applyFont="1" applyFill="1" applyAlignment="1">
      <alignment horizontal="left"/>
    </xf>
    <xf numFmtId="0" fontId="3" fillId="7" borderId="0" xfId="1" applyFont="1" applyFill="1" applyAlignment="1">
      <alignment horizontal="left"/>
    </xf>
    <xf numFmtId="0" fontId="3" fillId="8" borderId="0" xfId="1" applyFont="1" applyFill="1" applyAlignment="1">
      <alignment horizontal="left"/>
    </xf>
    <xf numFmtId="0" fontId="7" fillId="3" borderId="0" xfId="1" applyFont="1" applyFill="1" applyAlignment="1">
      <alignment horizontal="left"/>
    </xf>
    <xf numFmtId="0" fontId="5" fillId="6" borderId="0" xfId="1" applyFont="1" applyFill="1" applyAlignment="1">
      <alignment horizontal="left" vertical="center"/>
    </xf>
    <xf numFmtId="0" fontId="5" fillId="8" borderId="0" xfId="1" applyFont="1" applyFill="1" applyAlignment="1">
      <alignment horizontal="left"/>
    </xf>
    <xf numFmtId="0" fontId="7" fillId="7" borderId="0" xfId="1" applyFont="1" applyFill="1" applyAlignment="1">
      <alignment horizontal="left"/>
    </xf>
    <xf numFmtId="0" fontId="7" fillId="4" borderId="0" xfId="1" applyFont="1" applyFill="1" applyAlignment="1">
      <alignment horizontal="left"/>
    </xf>
    <xf numFmtId="4" fontId="0" fillId="0" borderId="0" xfId="0" applyNumberForma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0" fontId="34" fillId="0" borderId="0" xfId="0" applyFont="1" applyFill="1" applyAlignment="1">
      <alignment horizontal="center"/>
    </xf>
    <xf numFmtId="0" fontId="34" fillId="0" borderId="0" xfId="0" applyFont="1" applyFill="1"/>
    <xf numFmtId="4" fontId="10" fillId="9" borderId="4" xfId="1" applyNumberFormat="1" applyFont="1" applyFill="1" applyBorder="1"/>
    <xf numFmtId="4" fontId="6" fillId="9" borderId="4" xfId="1" applyNumberFormat="1" applyFont="1" applyFill="1" applyBorder="1"/>
    <xf numFmtId="0" fontId="30" fillId="0" borderId="0" xfId="1" applyFont="1"/>
    <xf numFmtId="164" fontId="18" fillId="0" borderId="8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164" fontId="9" fillId="0" borderId="5" xfId="0" applyNumberFormat="1" applyFont="1" applyFill="1" applyBorder="1" applyAlignment="1">
      <alignment horizontal="right"/>
    </xf>
    <xf numFmtId="0" fontId="0" fillId="0" borderId="15" xfId="0" applyFill="1" applyBorder="1" applyAlignment="1">
      <alignment horizontal="right" vertical="center"/>
    </xf>
    <xf numFmtId="164" fontId="18" fillId="0" borderId="0" xfId="0" applyNumberFormat="1" applyFont="1" applyFill="1" applyBorder="1" applyAlignment="1">
      <alignment horizontal="right" vertical="center"/>
    </xf>
    <xf numFmtId="164" fontId="9" fillId="0" borderId="11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164" fontId="17" fillId="0" borderId="0" xfId="0" applyNumberFormat="1" applyFont="1" applyFill="1" applyBorder="1" applyAlignment="1">
      <alignment horizontal="right"/>
    </xf>
    <xf numFmtId="164" fontId="15" fillId="0" borderId="8" xfId="0" applyNumberFormat="1" applyFont="1" applyFill="1" applyBorder="1" applyAlignment="1">
      <alignment horizontal="right"/>
    </xf>
    <xf numFmtId="0" fontId="34" fillId="0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7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4" fontId="8" fillId="0" borderId="1" xfId="0" applyNumberFormat="1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4" fontId="9" fillId="0" borderId="4" xfId="0" applyNumberFormat="1" applyFont="1" applyFill="1" applyBorder="1" applyAlignment="1">
      <alignment horizontal="right"/>
    </xf>
    <xf numFmtId="4" fontId="8" fillId="0" borderId="15" xfId="0" applyNumberFormat="1" applyFont="1" applyFill="1" applyBorder="1" applyAlignment="1">
      <alignment horizontal="right" vertical="center" wrapText="1"/>
    </xf>
    <xf numFmtId="4" fontId="0" fillId="0" borderId="15" xfId="0" applyNumberForma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4" fontId="17" fillId="0" borderId="0" xfId="0" applyNumberFormat="1" applyFont="1" applyFill="1" applyBorder="1" applyAlignment="1">
      <alignment horizontal="right"/>
    </xf>
    <xf numFmtId="4" fontId="15" fillId="0" borderId="8" xfId="0" applyNumberFormat="1" applyFont="1" applyFill="1" applyBorder="1" applyAlignment="1">
      <alignment horizontal="right"/>
    </xf>
    <xf numFmtId="3" fontId="35" fillId="0" borderId="0" xfId="0" applyNumberFormat="1" applyFont="1" applyFill="1" applyAlignment="1">
      <alignment horizontal="right"/>
    </xf>
    <xf numFmtId="0" fontId="35" fillId="0" borderId="0" xfId="0" applyFont="1" applyFill="1" applyAlignment="1">
      <alignment horizontal="right"/>
    </xf>
    <xf numFmtId="4" fontId="35" fillId="0" borderId="0" xfId="0" applyNumberFormat="1" applyFont="1" applyFill="1" applyAlignment="1">
      <alignment horizontal="right"/>
    </xf>
    <xf numFmtId="3" fontId="36" fillId="0" borderId="0" xfId="0" applyNumberFormat="1" applyFont="1" applyFill="1" applyAlignment="1">
      <alignment horizontal="right"/>
    </xf>
    <xf numFmtId="0" fontId="36" fillId="0" borderId="0" xfId="0" applyFont="1" applyFill="1" applyAlignment="1">
      <alignment horizontal="right"/>
    </xf>
    <xf numFmtId="4" fontId="36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25" xfId="0" applyFont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165" fontId="7" fillId="0" borderId="8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64" fontId="12" fillId="0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" fontId="11" fillId="2" borderId="15" xfId="0" applyNumberFormat="1" applyFont="1" applyFill="1" applyBorder="1" applyAlignment="1">
      <alignment horizontal="right" vertical="center"/>
    </xf>
    <xf numFmtId="164" fontId="10" fillId="0" borderId="15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right"/>
    </xf>
    <xf numFmtId="4" fontId="20" fillId="0" borderId="5" xfId="1" applyNumberFormat="1" applyFont="1" applyBorder="1"/>
    <xf numFmtId="0" fontId="37" fillId="0" borderId="0" xfId="1" applyFont="1"/>
    <xf numFmtId="0" fontId="38" fillId="0" borderId="0" xfId="1" applyFont="1"/>
    <xf numFmtId="49" fontId="13" fillId="2" borderId="15" xfId="2" applyNumberFormat="1" applyFont="1" applyFill="1" applyBorder="1" applyAlignment="1">
      <alignment vertical="top" wrapText="1"/>
    </xf>
    <xf numFmtId="0" fontId="8" fillId="0" borderId="2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10" fillId="0" borderId="0" xfId="1" applyFont="1" applyFill="1" applyBorder="1" applyAlignment="1" applyProtection="1">
      <alignment horizontal="left" vertical="center" wrapText="1"/>
      <protection locked="0"/>
    </xf>
    <xf numFmtId="4" fontId="1" fillId="0" borderId="0" xfId="1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164" fontId="9" fillId="0" borderId="22" xfId="0" applyNumberFormat="1" applyFont="1" applyFill="1" applyBorder="1" applyAlignment="1">
      <alignment horizontal="right"/>
    </xf>
    <xf numFmtId="0" fontId="2" fillId="2" borderId="15" xfId="0" applyFont="1" applyFill="1" applyBorder="1" applyAlignment="1"/>
    <xf numFmtId="0" fontId="2" fillId="2" borderId="15" xfId="0" applyFont="1" applyFill="1" applyBorder="1" applyAlignment="1">
      <alignment horizontal="right"/>
    </xf>
    <xf numFmtId="164" fontId="1" fillId="0" borderId="15" xfId="0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right" vertical="center" wrapText="1"/>
    </xf>
    <xf numFmtId="0" fontId="1" fillId="0" borderId="0" xfId="1" applyFont="1" applyFill="1" applyBorder="1" applyAlignment="1">
      <alignment horizontal="center" vertical="center"/>
    </xf>
    <xf numFmtId="0" fontId="10" fillId="0" borderId="15" xfId="1" applyFont="1" applyFill="1" applyBorder="1" applyAlignment="1" applyProtection="1">
      <alignment vertical="center" wrapText="1"/>
      <protection locked="0"/>
    </xf>
    <xf numFmtId="4" fontId="10" fillId="0" borderId="15" xfId="1" applyNumberFormat="1" applyFont="1" applyFill="1" applyBorder="1" applyAlignment="1">
      <alignment horizontal="right" vertical="center" wrapText="1"/>
    </xf>
    <xf numFmtId="4" fontId="11" fillId="2" borderId="15" xfId="1" applyNumberFormat="1" applyFont="1" applyFill="1" applyBorder="1" applyAlignment="1">
      <alignment horizontal="right" vertical="center"/>
    </xf>
    <xf numFmtId="164" fontId="12" fillId="0" borderId="15" xfId="0" applyNumberFormat="1" applyFont="1" applyFill="1" applyBorder="1" applyAlignment="1">
      <alignment horizontal="right" vertical="center"/>
    </xf>
    <xf numFmtId="4" fontId="9" fillId="0" borderId="10" xfId="1" applyNumberFormat="1" applyFont="1" applyFill="1" applyBorder="1" applyAlignment="1">
      <alignment horizontal="right" vertical="center"/>
    </xf>
    <xf numFmtId="0" fontId="10" fillId="2" borderId="0" xfId="7" applyFont="1" applyFill="1" applyBorder="1" applyAlignment="1">
      <alignment vertical="center" wrapText="1"/>
    </xf>
    <xf numFmtId="0" fontId="10" fillId="0" borderId="0" xfId="7" applyFont="1" applyFill="1" applyBorder="1" applyAlignment="1">
      <alignment vertical="center" wrapText="1"/>
    </xf>
    <xf numFmtId="4" fontId="10" fillId="0" borderId="0" xfId="1" applyNumberFormat="1" applyFont="1" applyFill="1" applyBorder="1" applyAlignment="1">
      <alignment vertical="center"/>
    </xf>
    <xf numFmtId="0" fontId="3" fillId="0" borderId="0" xfId="5" applyNumberFormat="1" applyFont="1" applyFill="1" applyBorder="1" applyAlignment="1">
      <alignment horizontal="center" vertical="center" wrapText="1"/>
    </xf>
    <xf numFmtId="0" fontId="1" fillId="10" borderId="0" xfId="1" applyFont="1" applyFill="1" applyBorder="1" applyAlignment="1">
      <alignment horizontal="center" vertical="center"/>
    </xf>
    <xf numFmtId="0" fontId="3" fillId="10" borderId="0" xfId="5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right" vertical="center"/>
    </xf>
    <xf numFmtId="0" fontId="6" fillId="2" borderId="15" xfId="0" applyFont="1" applyFill="1" applyBorder="1"/>
    <xf numFmtId="3" fontId="6" fillId="2" borderId="15" xfId="0" applyNumberFormat="1" applyFont="1" applyFill="1" applyBorder="1" applyAlignment="1">
      <alignment horizontal="right" vertical="center"/>
    </xf>
    <xf numFmtId="4" fontId="6" fillId="2" borderId="15" xfId="0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40" fillId="10" borderId="0" xfId="0" applyFont="1" applyFill="1"/>
    <xf numFmtId="0" fontId="41" fillId="0" borderId="0" xfId="0" applyFont="1" applyFill="1"/>
    <xf numFmtId="0" fontId="42" fillId="10" borderId="0" xfId="0" applyFont="1" applyFill="1"/>
    <xf numFmtId="0" fontId="40" fillId="4" borderId="0" xfId="0" applyFont="1" applyFill="1"/>
    <xf numFmtId="164" fontId="1" fillId="0" borderId="0" xfId="0" applyNumberFormat="1" applyFont="1" applyFill="1" applyBorder="1" applyAlignment="1">
      <alignment horizontal="right"/>
    </xf>
    <xf numFmtId="49" fontId="1" fillId="0" borderId="0" xfId="1" applyNumberFormat="1" applyFont="1" applyFill="1" applyAlignment="1">
      <alignment horizontal="left"/>
    </xf>
    <xf numFmtId="49" fontId="1" fillId="0" borderId="0" xfId="1" applyNumberFormat="1" applyFont="1" applyFill="1" applyAlignment="1">
      <alignment horizontal="left" vertical="center"/>
    </xf>
    <xf numFmtId="49" fontId="1" fillId="0" borderId="0" xfId="1" applyNumberFormat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1" applyFont="1" applyFill="1" applyBorder="1" applyAlignment="1">
      <alignment horizontal="left" vertical="center"/>
    </xf>
    <xf numFmtId="4" fontId="0" fillId="2" borderId="0" xfId="0" applyNumberFormat="1" applyFill="1" applyAlignment="1">
      <alignment horizontal="right" vertical="center"/>
    </xf>
    <xf numFmtId="4" fontId="10" fillId="0" borderId="0" xfId="0" applyNumberFormat="1" applyFont="1" applyFill="1" applyBorder="1" applyAlignment="1">
      <alignment horizontal="right"/>
    </xf>
    <xf numFmtId="4" fontId="0" fillId="2" borderId="0" xfId="0" applyNumberFormat="1" applyFill="1"/>
    <xf numFmtId="0" fontId="43" fillId="0" borderId="0" xfId="1" applyFont="1"/>
    <xf numFmtId="0" fontId="43" fillId="0" borderId="28" xfId="1" applyFont="1" applyBorder="1"/>
    <xf numFmtId="4" fontId="43" fillId="0" borderId="28" xfId="1" applyNumberFormat="1" applyFont="1" applyBorder="1"/>
    <xf numFmtId="0" fontId="3" fillId="0" borderId="28" xfId="1" applyBorder="1"/>
    <xf numFmtId="0" fontId="3" fillId="0" borderId="28" xfId="1" applyBorder="1" applyAlignment="1">
      <alignment horizontal="right"/>
    </xf>
    <xf numFmtId="4" fontId="3" fillId="0" borderId="28" xfId="1" applyNumberFormat="1" applyBorder="1"/>
    <xf numFmtId="4" fontId="6" fillId="0" borderId="28" xfId="1" applyNumberFormat="1" applyFont="1" applyBorder="1"/>
    <xf numFmtId="0" fontId="44" fillId="0" borderId="0" xfId="1" applyFont="1"/>
    <xf numFmtId="14" fontId="31" fillId="2" borderId="0" xfId="0" applyNumberFormat="1" applyFont="1" applyFill="1"/>
    <xf numFmtId="0" fontId="31" fillId="2" borderId="0" xfId="0" applyFont="1" applyFill="1" applyAlignment="1">
      <alignment horizontal="right" vertical="center"/>
    </xf>
    <xf numFmtId="4" fontId="31" fillId="2" borderId="0" xfId="0" applyNumberFormat="1" applyFont="1" applyFill="1" applyAlignment="1">
      <alignment horizontal="right" wrapText="1"/>
    </xf>
    <xf numFmtId="4" fontId="0" fillId="2" borderId="0" xfId="0" applyNumberFormat="1" applyFill="1" applyAlignment="1">
      <alignment horizontal="right" wrapText="1"/>
    </xf>
    <xf numFmtId="4" fontId="45" fillId="2" borderId="0" xfId="0" applyNumberFormat="1" applyFont="1" applyFill="1" applyAlignment="1">
      <alignment horizontal="right" wrapText="1"/>
    </xf>
    <xf numFmtId="0" fontId="45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0" fontId="0" fillId="0" borderId="17" xfId="0" applyFill="1" applyBorder="1" applyAlignment="1">
      <alignment horizontal="center"/>
    </xf>
    <xf numFmtId="4" fontId="6" fillId="0" borderId="17" xfId="0" applyNumberFormat="1" applyFont="1" applyFill="1" applyBorder="1" applyAlignment="1">
      <alignment horizontal="right"/>
    </xf>
    <xf numFmtId="4" fontId="9" fillId="0" borderId="0" xfId="0" applyNumberFormat="1" applyFont="1" applyFill="1"/>
    <xf numFmtId="4" fontId="46" fillId="0" borderId="0" xfId="0" applyNumberFormat="1" applyFont="1" applyFill="1"/>
    <xf numFmtId="4" fontId="47" fillId="0" borderId="0" xfId="0" applyNumberFormat="1" applyFont="1" applyFill="1"/>
    <xf numFmtId="4" fontId="34" fillId="0" borderId="0" xfId="0" applyNumberFormat="1" applyFont="1" applyFill="1"/>
    <xf numFmtId="4" fontId="2" fillId="0" borderId="8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/>
    <xf numFmtId="0" fontId="45" fillId="0" borderId="0" xfId="1" applyFont="1"/>
    <xf numFmtId="4" fontId="45" fillId="0" borderId="0" xfId="1" applyNumberFormat="1" applyFont="1"/>
    <xf numFmtId="0" fontId="48" fillId="0" borderId="0" xfId="1" applyFont="1"/>
    <xf numFmtId="4" fontId="48" fillId="0" borderId="0" xfId="1" applyNumberFormat="1" applyFont="1"/>
    <xf numFmtId="0" fontId="41" fillId="0" borderId="0" xfId="1" applyFont="1"/>
    <xf numFmtId="0" fontId="41" fillId="0" borderId="0" xfId="1" applyFont="1" applyAlignment="1">
      <alignment vertical="center"/>
    </xf>
    <xf numFmtId="4" fontId="49" fillId="0" borderId="0" xfId="1" applyNumberFormat="1" applyFont="1"/>
    <xf numFmtId="4" fontId="8" fillId="0" borderId="0" xfId="1" applyNumberFormat="1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/>
    </xf>
    <xf numFmtId="4" fontId="3" fillId="0" borderId="0" xfId="1" applyNumberFormat="1" applyFill="1" applyBorder="1" applyAlignment="1">
      <alignment horizontal="center" vertical="center"/>
    </xf>
    <xf numFmtId="0" fontId="33" fillId="0" borderId="0" xfId="1" applyFont="1" applyBorder="1" applyAlignment="1">
      <alignment vertical="center"/>
    </xf>
    <xf numFmtId="4" fontId="3" fillId="0" borderId="0" xfId="1" applyNumberFormat="1" applyFont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4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6" fillId="0" borderId="17" xfId="1" applyFont="1" applyBorder="1"/>
    <xf numFmtId="4" fontId="6" fillId="0" borderId="11" xfId="1" applyNumberFormat="1" applyFont="1" applyBorder="1"/>
    <xf numFmtId="4" fontId="10" fillId="9" borderId="5" xfId="1" applyNumberFormat="1" applyFont="1" applyFill="1" applyBorder="1"/>
    <xf numFmtId="4" fontId="6" fillId="9" borderId="5" xfId="1" applyNumberFormat="1" applyFont="1" applyFill="1" applyBorder="1"/>
    <xf numFmtId="4" fontId="10" fillId="9" borderId="6" xfId="1" applyNumberFormat="1" applyFont="1" applyFill="1" applyBorder="1"/>
    <xf numFmtId="4" fontId="20" fillId="0" borderId="11" xfId="1" applyNumberFormat="1" applyFont="1" applyBorder="1"/>
    <xf numFmtId="0" fontId="10" fillId="0" borderId="20" xfId="1" applyFont="1" applyFill="1" applyBorder="1" applyAlignment="1">
      <alignment horizontal="left" vertical="center"/>
    </xf>
    <xf numFmtId="4" fontId="10" fillId="0" borderId="4" xfId="1" applyNumberFormat="1" applyFont="1" applyFill="1" applyBorder="1" applyAlignment="1">
      <alignment horizontal="right" vertical="center"/>
    </xf>
    <xf numFmtId="0" fontId="10" fillId="0" borderId="24" xfId="7" applyFont="1" applyFill="1" applyBorder="1" applyAlignment="1">
      <alignment vertical="center" wrapText="1"/>
    </xf>
    <xf numFmtId="4" fontId="10" fillId="0" borderId="9" xfId="1" applyNumberFormat="1" applyFont="1" applyFill="1" applyBorder="1" applyAlignment="1">
      <alignment vertical="center"/>
    </xf>
    <xf numFmtId="164" fontId="10" fillId="0" borderId="6" xfId="1" applyNumberFormat="1" applyFont="1" applyFill="1" applyBorder="1" applyAlignment="1">
      <alignment vertical="center"/>
    </xf>
    <xf numFmtId="4" fontId="10" fillId="0" borderId="4" xfId="1" applyNumberFormat="1" applyFont="1" applyFill="1" applyBorder="1" applyAlignment="1">
      <alignment vertical="center"/>
    </xf>
    <xf numFmtId="4" fontId="10" fillId="0" borderId="17" xfId="1" applyNumberFormat="1" applyFont="1" applyFill="1" applyBorder="1" applyAlignment="1">
      <alignment vertical="center"/>
    </xf>
    <xf numFmtId="4" fontId="10" fillId="0" borderId="4" xfId="1" applyNumberFormat="1" applyFont="1" applyFill="1" applyBorder="1"/>
    <xf numFmtId="4" fontId="10" fillId="0" borderId="13" xfId="1" applyNumberFormat="1" applyFont="1" applyFill="1" applyBorder="1" applyAlignment="1">
      <alignment horizontal="right" vertical="center"/>
    </xf>
    <xf numFmtId="0" fontId="10" fillId="0" borderId="24" xfId="1" applyFont="1" applyFill="1" applyBorder="1"/>
    <xf numFmtId="4" fontId="10" fillId="0" borderId="9" xfId="1" applyNumberFormat="1" applyFont="1" applyFill="1" applyBorder="1"/>
    <xf numFmtId="4" fontId="10" fillId="0" borderId="18" xfId="1" applyNumberFormat="1" applyFont="1" applyFill="1" applyBorder="1" applyAlignment="1">
      <alignment vertical="center"/>
    </xf>
    <xf numFmtId="0" fontId="10" fillId="0" borderId="24" xfId="1" applyFont="1" applyFill="1" applyBorder="1" applyAlignment="1">
      <alignment horizontal="left" vertical="center"/>
    </xf>
    <xf numFmtId="4" fontId="10" fillId="0" borderId="4" xfId="1" applyNumberFormat="1" applyFont="1" applyFill="1" applyBorder="1" applyAlignment="1">
      <alignment horizontal="right"/>
    </xf>
    <xf numFmtId="0" fontId="10" fillId="0" borderId="20" xfId="1" applyFont="1" applyFill="1" applyBorder="1" applyAlignment="1">
      <alignment horizontal="left" vertical="center" wrapText="1"/>
    </xf>
    <xf numFmtId="4" fontId="10" fillId="0" borderId="9" xfId="1" applyNumberFormat="1" applyFont="1" applyFill="1" applyBorder="1" applyAlignment="1">
      <alignment horizontal="right"/>
    </xf>
    <xf numFmtId="4" fontId="10" fillId="0" borderId="13" xfId="1" applyNumberFormat="1" applyFont="1" applyFill="1" applyBorder="1" applyAlignment="1">
      <alignment horizontal="right"/>
    </xf>
    <xf numFmtId="4" fontId="10" fillId="0" borderId="18" xfId="1" applyNumberFormat="1" applyFont="1" applyFill="1" applyBorder="1"/>
    <xf numFmtId="4" fontId="11" fillId="0" borderId="0" xfId="1" applyNumberFormat="1" applyFont="1" applyFill="1" applyBorder="1" applyAlignment="1">
      <alignment horizontal="right" vertical="center"/>
    </xf>
    <xf numFmtId="4" fontId="11" fillId="0" borderId="4" xfId="1" applyNumberFormat="1" applyFont="1" applyFill="1" applyBorder="1" applyAlignment="1">
      <alignment horizontal="right" vertical="center"/>
    </xf>
    <xf numFmtId="0" fontId="10" fillId="0" borderId="20" xfId="1" applyFont="1" applyFill="1" applyBorder="1" applyAlignment="1">
      <alignment wrapText="1"/>
    </xf>
    <xf numFmtId="4" fontId="11" fillId="0" borderId="17" xfId="1" applyNumberFormat="1" applyFont="1" applyFill="1" applyBorder="1" applyAlignment="1">
      <alignment horizontal="right" vertical="center"/>
    </xf>
    <xf numFmtId="4" fontId="11" fillId="0" borderId="9" xfId="1" applyNumberFormat="1" applyFont="1" applyFill="1" applyBorder="1" applyAlignment="1">
      <alignment horizontal="right" vertical="center"/>
    </xf>
    <xf numFmtId="4" fontId="11" fillId="0" borderId="4" xfId="1" applyNumberFormat="1" applyFont="1" applyFill="1" applyBorder="1" applyAlignment="1">
      <alignment vertical="center"/>
    </xf>
    <xf numFmtId="4" fontId="10" fillId="0" borderId="4" xfId="1" applyNumberFormat="1" applyFont="1" applyFill="1" applyBorder="1" applyAlignment="1">
      <alignment horizontal="right" vertical="center" wrapText="1"/>
    </xf>
    <xf numFmtId="164" fontId="12" fillId="0" borderId="22" xfId="0" applyNumberFormat="1" applyFont="1" applyFill="1" applyBorder="1" applyAlignment="1">
      <alignment horizontal="right" vertical="center"/>
    </xf>
    <xf numFmtId="4" fontId="10" fillId="0" borderId="9" xfId="1" applyNumberFormat="1" applyFont="1" applyFill="1" applyBorder="1" applyAlignment="1">
      <alignment horizontal="right" vertical="center" wrapText="1"/>
    </xf>
    <xf numFmtId="4" fontId="10" fillId="0" borderId="17" xfId="1" applyNumberFormat="1" applyFont="1" applyFill="1" applyBorder="1" applyAlignment="1">
      <alignment horizontal="right" vertical="center" wrapText="1"/>
    </xf>
    <xf numFmtId="164" fontId="12" fillId="0" borderId="27" xfId="0" applyNumberFormat="1" applyFont="1" applyFill="1" applyBorder="1" applyAlignment="1">
      <alignment horizontal="right" vertical="center"/>
    </xf>
    <xf numFmtId="164" fontId="12" fillId="0" borderId="5" xfId="0" applyNumberFormat="1" applyFont="1" applyFill="1" applyBorder="1" applyAlignment="1">
      <alignment horizontal="right" vertical="center"/>
    </xf>
    <xf numFmtId="4" fontId="10" fillId="0" borderId="4" xfId="7" applyNumberFormat="1" applyFont="1" applyFill="1" applyBorder="1" applyAlignment="1">
      <alignment horizontal="right" vertical="center" wrapText="1"/>
    </xf>
    <xf numFmtId="4" fontId="10" fillId="0" borderId="4" xfId="0" applyNumberFormat="1" applyFont="1" applyFill="1" applyBorder="1" applyAlignment="1">
      <alignment horizontal="right" vertical="center"/>
    </xf>
    <xf numFmtId="4" fontId="10" fillId="0" borderId="9" xfId="0" applyNumberFormat="1" applyFont="1" applyFill="1" applyBorder="1" applyAlignment="1">
      <alignment horizontal="right" vertical="center"/>
    </xf>
    <xf numFmtId="164" fontId="12" fillId="0" borderId="6" xfId="0" applyNumberFormat="1" applyFont="1" applyFill="1" applyBorder="1" applyAlignment="1">
      <alignment horizontal="right" vertical="center"/>
    </xf>
    <xf numFmtId="4" fontId="10" fillId="0" borderId="4" xfId="0" applyNumberFormat="1" applyFont="1" applyFill="1" applyBorder="1" applyAlignment="1">
      <alignment horizontal="right" vertical="center" wrapText="1"/>
    </xf>
    <xf numFmtId="164" fontId="10" fillId="0" borderId="5" xfId="0" applyNumberFormat="1" applyFont="1" applyFill="1" applyBorder="1" applyAlignment="1">
      <alignment horizontal="right" vertical="center"/>
    </xf>
    <xf numFmtId="4" fontId="10" fillId="0" borderId="9" xfId="0" applyNumberFormat="1" applyFont="1" applyFill="1" applyBorder="1" applyAlignment="1">
      <alignment horizontal="right" vertical="center" wrapText="1"/>
    </xf>
    <xf numFmtId="164" fontId="10" fillId="0" borderId="6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right" vertical="center"/>
    </xf>
    <xf numFmtId="4" fontId="12" fillId="0" borderId="4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4" fontId="12" fillId="0" borderId="4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0" fontId="19" fillId="0" borderId="12" xfId="0" applyFont="1" applyFill="1" applyBorder="1" applyAlignment="1">
      <alignment horizontal="left"/>
    </xf>
    <xf numFmtId="4" fontId="12" fillId="0" borderId="9" xfId="0" applyNumberFormat="1" applyFont="1" applyFill="1" applyBorder="1" applyAlignment="1">
      <alignment horizontal="right" vertical="center"/>
    </xf>
    <xf numFmtId="164" fontId="1" fillId="0" borderId="6" xfId="0" applyNumberFormat="1" applyFont="1" applyFill="1" applyBorder="1" applyAlignment="1">
      <alignment horizontal="right" vertical="center"/>
    </xf>
    <xf numFmtId="0" fontId="19" fillId="0" borderId="16" xfId="0" applyFont="1" applyFill="1" applyBorder="1" applyAlignment="1">
      <alignment horizontal="left"/>
    </xf>
    <xf numFmtId="4" fontId="12" fillId="0" borderId="9" xfId="0" applyNumberFormat="1" applyFont="1" applyFill="1" applyBorder="1" applyAlignment="1">
      <alignment horizontal="right"/>
    </xf>
    <xf numFmtId="164" fontId="1" fillId="0" borderId="6" xfId="0" applyNumberFormat="1" applyFont="1" applyFill="1" applyBorder="1" applyAlignment="1">
      <alignment horizontal="right"/>
    </xf>
    <xf numFmtId="0" fontId="19" fillId="0" borderId="20" xfId="0" applyFont="1" applyFill="1" applyBorder="1" applyAlignment="1">
      <alignment horizontal="left"/>
    </xf>
    <xf numFmtId="164" fontId="9" fillId="0" borderId="11" xfId="0" applyNumberFormat="1" applyFont="1" applyFill="1" applyBorder="1" applyAlignment="1">
      <alignment horizontal="right" vertical="center"/>
    </xf>
    <xf numFmtId="0" fontId="1" fillId="0" borderId="20" xfId="1" applyFont="1" applyFill="1" applyBorder="1" applyAlignment="1" applyProtection="1">
      <alignment vertical="center"/>
      <protection locked="0"/>
    </xf>
    <xf numFmtId="0" fontId="1" fillId="0" borderId="20" xfId="7" applyFont="1" applyFill="1" applyBorder="1" applyAlignment="1" applyProtection="1">
      <alignment horizontal="left" vertical="center" wrapText="1"/>
      <protection locked="0"/>
    </xf>
    <xf numFmtId="0" fontId="1" fillId="0" borderId="20" xfId="1" applyFont="1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>
      <alignment wrapText="1"/>
    </xf>
    <xf numFmtId="0" fontId="1" fillId="0" borderId="20" xfId="1" applyFont="1" applyFill="1" applyBorder="1" applyAlignment="1" applyProtection="1">
      <alignment vertical="center" wrapText="1"/>
      <protection locked="0"/>
    </xf>
    <xf numFmtId="0" fontId="50" fillId="0" borderId="20" xfId="10" applyFont="1" applyFill="1" applyBorder="1" applyAlignment="1" applyProtection="1">
      <alignment horizontal="left" vertical="center" wrapText="1"/>
      <protection locked="0"/>
    </xf>
    <xf numFmtId="0" fontId="51" fillId="0" borderId="20" xfId="0" applyFont="1" applyBorder="1" applyAlignment="1">
      <alignment vertical="center"/>
    </xf>
    <xf numFmtId="0" fontId="51" fillId="0" borderId="20" xfId="0" applyFont="1" applyBorder="1" applyAlignment="1"/>
    <xf numFmtId="0" fontId="51" fillId="0" borderId="20" xfId="0" applyFont="1" applyBorder="1" applyAlignment="1">
      <alignment wrapText="1"/>
    </xf>
    <xf numFmtId="0" fontId="51" fillId="0" borderId="24" xfId="0" applyFont="1" applyBorder="1" applyAlignment="1">
      <alignment wrapText="1"/>
    </xf>
    <xf numFmtId="0" fontId="2" fillId="2" borderId="0" xfId="0" applyFont="1" applyFill="1" applyBorder="1" applyAlignment="1"/>
    <xf numFmtId="164" fontId="1" fillId="0" borderId="0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/>
    <xf numFmtId="0" fontId="1" fillId="0" borderId="20" xfId="11" applyFont="1" applyFill="1" applyBorder="1" applyAlignment="1" applyProtection="1">
      <alignment vertical="center" wrapText="1"/>
      <protection locked="0"/>
    </xf>
    <xf numFmtId="0" fontId="1" fillId="0" borderId="20" xfId="0" applyFont="1" applyFill="1" applyBorder="1" applyAlignment="1">
      <alignment wrapText="1"/>
    </xf>
    <xf numFmtId="0" fontId="1" fillId="0" borderId="20" xfId="11" applyFont="1" applyFill="1" applyBorder="1" applyAlignment="1" applyProtection="1">
      <alignment horizontal="left" vertical="center" wrapText="1"/>
      <protection locked="0"/>
    </xf>
    <xf numFmtId="0" fontId="1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 wrapText="1"/>
    </xf>
    <xf numFmtId="0" fontId="1" fillId="0" borderId="20" xfId="11" applyFont="1" applyFill="1" applyBorder="1" applyAlignment="1">
      <alignment horizontal="left" wrapText="1"/>
    </xf>
    <xf numFmtId="0" fontId="1" fillId="0" borderId="20" xfId="11" applyFont="1" applyFill="1" applyBorder="1" applyAlignment="1">
      <alignment vertical="center" wrapText="1"/>
    </xf>
    <xf numFmtId="0" fontId="1" fillId="0" borderId="20" xfId="0" applyFont="1" applyFill="1" applyBorder="1" applyAlignment="1">
      <alignment vertical="center" wrapText="1"/>
    </xf>
    <xf numFmtId="0" fontId="1" fillId="0" borderId="24" xfId="11" applyFont="1" applyFill="1" applyBorder="1" applyAlignment="1" applyProtection="1">
      <alignment vertical="center" wrapText="1"/>
      <protection locked="0"/>
    </xf>
    <xf numFmtId="1" fontId="3" fillId="0" borderId="12" xfId="0" applyNumberFormat="1" applyFont="1" applyFill="1" applyBorder="1" applyAlignment="1">
      <alignment horizontal="center" vertical="center"/>
    </xf>
    <xf numFmtId="1" fontId="1" fillId="0" borderId="29" xfId="1" applyNumberFormat="1" applyFont="1" applyFill="1" applyBorder="1" applyAlignment="1">
      <alignment horizontal="center" vertical="center"/>
    </xf>
    <xf numFmtId="0" fontId="1" fillId="0" borderId="30" xfId="1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1" fillId="0" borderId="30" xfId="11" applyFont="1" applyFill="1" applyBorder="1" applyAlignment="1">
      <alignment horizontal="center" vertical="center"/>
    </xf>
    <xf numFmtId="0" fontId="1" fillId="0" borderId="30" xfId="1" applyFont="1" applyFill="1" applyBorder="1" applyAlignment="1">
      <alignment horizontal="center" vertical="center"/>
    </xf>
    <xf numFmtId="0" fontId="1" fillId="0" borderId="31" xfId="1" applyFont="1" applyFill="1" applyBorder="1" applyAlignment="1">
      <alignment horizontal="center" vertical="center"/>
    </xf>
    <xf numFmtId="0" fontId="1" fillId="2" borderId="29" xfId="1" applyFont="1" applyFill="1" applyBorder="1" applyAlignment="1">
      <alignment horizontal="center" vertical="center"/>
    </xf>
    <xf numFmtId="49" fontId="1" fillId="0" borderId="30" xfId="1" applyNumberFormat="1" applyFont="1" applyFill="1" applyBorder="1" applyAlignment="1">
      <alignment horizontal="center" vertical="center" wrapText="1"/>
    </xf>
    <xf numFmtId="0" fontId="1" fillId="0" borderId="30" xfId="7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29" xfId="1" applyFont="1" applyFill="1" applyBorder="1" applyAlignment="1">
      <alignment horizontal="center" vertical="center"/>
    </xf>
    <xf numFmtId="1" fontId="1" fillId="0" borderId="29" xfId="0" applyNumberFormat="1" applyFont="1" applyFill="1" applyBorder="1" applyAlignment="1">
      <alignment horizontal="center" vertical="center"/>
    </xf>
    <xf numFmtId="1" fontId="1" fillId="0" borderId="30" xfId="0" applyNumberFormat="1" applyFont="1" applyFill="1" applyBorder="1" applyAlignment="1">
      <alignment horizontal="center" vertical="center"/>
    </xf>
    <xf numFmtId="0" fontId="1" fillId="0" borderId="30" xfId="1" applyFont="1" applyFill="1" applyBorder="1" applyAlignment="1">
      <alignment vertical="center"/>
    </xf>
    <xf numFmtId="0" fontId="4" fillId="0" borderId="20" xfId="1" applyFont="1" applyFill="1" applyBorder="1" applyAlignment="1" applyProtection="1">
      <alignment vertical="center" wrapText="1"/>
      <protection locked="0"/>
    </xf>
    <xf numFmtId="0" fontId="52" fillId="0" borderId="20" xfId="1" applyFont="1" applyFill="1" applyBorder="1" applyAlignment="1" applyProtection="1">
      <alignment vertical="center" wrapText="1"/>
      <protection locked="0"/>
    </xf>
    <xf numFmtId="0" fontId="51" fillId="0" borderId="24" xfId="0" applyFont="1" applyBorder="1" applyAlignment="1"/>
    <xf numFmtId="4" fontId="11" fillId="0" borderId="9" xfId="0" applyNumberFormat="1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center" vertical="center"/>
    </xf>
    <xf numFmtId="0" fontId="52" fillId="0" borderId="33" xfId="1" applyFont="1" applyFill="1" applyBorder="1" applyAlignment="1">
      <alignment horizontal="center" vertical="center" wrapText="1"/>
    </xf>
    <xf numFmtId="0" fontId="1" fillId="0" borderId="33" xfId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left" vertical="center" wrapText="1"/>
    </xf>
    <xf numFmtId="0" fontId="1" fillId="2" borderId="20" xfId="1" applyFont="1" applyFill="1" applyBorder="1" applyAlignment="1">
      <alignment wrapText="1"/>
    </xf>
    <xf numFmtId="0" fontId="1" fillId="0" borderId="20" xfId="12" applyFont="1" applyFill="1" applyBorder="1" applyAlignment="1" applyProtection="1">
      <alignment horizontal="left" vertical="center" wrapText="1"/>
      <protection locked="0"/>
    </xf>
    <xf numFmtId="0" fontId="1" fillId="2" borderId="33" xfId="1" applyFont="1" applyFill="1" applyBorder="1" applyAlignment="1">
      <alignment horizontal="center" vertical="center"/>
    </xf>
    <xf numFmtId="49" fontId="1" fillId="0" borderId="33" xfId="12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4" fontId="9" fillId="0" borderId="32" xfId="0" applyNumberFormat="1" applyFont="1" applyFill="1" applyBorder="1"/>
    <xf numFmtId="0" fontId="3" fillId="0" borderId="33" xfId="3" applyFont="1" applyFill="1" applyBorder="1" applyAlignment="1">
      <alignment horizontal="center" vertical="center"/>
    </xf>
    <xf numFmtId="0" fontId="10" fillId="0" borderId="25" xfId="8" applyFont="1" applyFill="1" applyBorder="1" applyAlignment="1">
      <alignment horizontal="left" vertical="center" wrapText="1"/>
    </xf>
    <xf numFmtId="164" fontId="12" fillId="0" borderId="25" xfId="0" applyNumberFormat="1" applyFont="1" applyFill="1" applyBorder="1" applyAlignment="1">
      <alignment horizontal="right" vertical="center"/>
    </xf>
    <xf numFmtId="0" fontId="1" fillId="2" borderId="32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vertical="center" wrapText="1"/>
    </xf>
    <xf numFmtId="4" fontId="10" fillId="0" borderId="9" xfId="1" applyNumberFormat="1" applyFont="1" applyFill="1" applyBorder="1" applyAlignment="1">
      <alignment horizontal="right" vertical="center"/>
    </xf>
    <xf numFmtId="0" fontId="35" fillId="0" borderId="0" xfId="0" applyFont="1" applyFill="1" applyAlignment="1">
      <alignment vertical="center"/>
    </xf>
    <xf numFmtId="0" fontId="45" fillId="0" borderId="0" xfId="0" applyFont="1" applyFill="1"/>
    <xf numFmtId="4" fontId="36" fillId="0" borderId="0" xfId="0" applyNumberFormat="1" applyFont="1" applyFill="1"/>
    <xf numFmtId="0" fontId="35" fillId="7" borderId="0" xfId="0" applyFont="1" applyFill="1" applyAlignment="1">
      <alignment vertical="center"/>
    </xf>
    <xf numFmtId="4" fontId="9" fillId="0" borderId="10" xfId="0" applyNumberFormat="1" applyFont="1" applyFill="1" applyBorder="1" applyAlignment="1">
      <alignment horizontal="right"/>
    </xf>
    <xf numFmtId="0" fontId="35" fillId="4" borderId="0" xfId="0" applyFont="1" applyFill="1"/>
    <xf numFmtId="0" fontId="53" fillId="0" borderId="0" xfId="0" applyFont="1" applyFill="1" applyAlignment="1">
      <alignment vertical="center"/>
    </xf>
    <xf numFmtId="0" fontId="29" fillId="0" borderId="0" xfId="0" applyFont="1" applyFill="1"/>
    <xf numFmtId="4" fontId="54" fillId="0" borderId="0" xfId="0" applyNumberFormat="1" applyFont="1" applyFill="1"/>
    <xf numFmtId="0" fontId="53" fillId="4" borderId="0" xfId="0" applyFont="1" applyFill="1"/>
    <xf numFmtId="0" fontId="10" fillId="0" borderId="20" xfId="1" applyFont="1" applyFill="1" applyBorder="1" applyAlignment="1" applyProtection="1">
      <alignment vertical="center" wrapText="1"/>
      <protection locked="0"/>
    </xf>
    <xf numFmtId="0" fontId="10" fillId="0" borderId="24" xfId="1" applyFont="1" applyFill="1" applyBorder="1" applyAlignment="1" applyProtection="1">
      <alignment vertical="center" wrapText="1"/>
      <protection locked="0"/>
    </xf>
    <xf numFmtId="0" fontId="19" fillId="0" borderId="20" xfId="0" applyFont="1" applyFill="1" applyBorder="1" applyAlignment="1">
      <alignment horizontal="left" wrapText="1"/>
    </xf>
    <xf numFmtId="0" fontId="19" fillId="0" borderId="20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horizontal="left" vertical="center" wrapText="1"/>
    </xf>
    <xf numFmtId="0" fontId="19" fillId="0" borderId="24" xfId="0" applyFont="1" applyFill="1" applyBorder="1" applyAlignment="1">
      <alignment horizontal="left" vertical="center" wrapText="1"/>
    </xf>
    <xf numFmtId="0" fontId="19" fillId="0" borderId="24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/>
    </xf>
    <xf numFmtId="4" fontId="0" fillId="0" borderId="0" xfId="0" applyNumberForma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center" vertical="center"/>
    </xf>
    <xf numFmtId="4" fontId="8" fillId="0" borderId="25" xfId="0" applyNumberFormat="1" applyFont="1" applyFill="1" applyBorder="1" applyAlignment="1">
      <alignment horizontal="right" vertical="center" wrapText="1"/>
    </xf>
    <xf numFmtId="0" fontId="0" fillId="0" borderId="25" xfId="0" applyFill="1" applyBorder="1" applyAlignment="1">
      <alignment horizontal="right" vertical="center"/>
    </xf>
    <xf numFmtId="4" fontId="0" fillId="0" borderId="25" xfId="0" applyNumberFormat="1" applyFill="1" applyBorder="1" applyAlignment="1">
      <alignment horizontal="right" vertical="center"/>
    </xf>
    <xf numFmtId="0" fontId="9" fillId="0" borderId="19" xfId="0" applyFont="1" applyFill="1" applyBorder="1" applyAlignment="1"/>
    <xf numFmtId="0" fontId="1" fillId="0" borderId="0" xfId="1" applyNumberFormat="1" applyFont="1" applyFill="1" applyBorder="1" applyAlignment="1">
      <alignment horizontal="left" vertical="center"/>
    </xf>
    <xf numFmtId="164" fontId="17" fillId="0" borderId="5" xfId="1" applyNumberFormat="1" applyFont="1" applyFill="1" applyBorder="1" applyAlignment="1">
      <alignment vertical="center"/>
    </xf>
    <xf numFmtId="164" fontId="17" fillId="0" borderId="6" xfId="1" applyNumberFormat="1" applyFont="1" applyFill="1" applyBorder="1" applyAlignment="1">
      <alignment vertical="center"/>
    </xf>
    <xf numFmtId="4" fontId="10" fillId="2" borderId="4" xfId="1" applyNumberFormat="1" applyFont="1" applyFill="1" applyBorder="1" applyAlignment="1">
      <alignment vertical="center"/>
    </xf>
    <xf numFmtId="4" fontId="11" fillId="2" borderId="4" xfId="1" applyNumberFormat="1" applyFont="1" applyFill="1" applyBorder="1" applyAlignment="1">
      <alignment horizontal="right" vertical="center"/>
    </xf>
    <xf numFmtId="4" fontId="10" fillId="2" borderId="9" xfId="1" applyNumberFormat="1" applyFont="1" applyFill="1" applyBorder="1" applyAlignment="1">
      <alignment vertical="center"/>
    </xf>
    <xf numFmtId="4" fontId="11" fillId="2" borderId="9" xfId="1" applyNumberFormat="1" applyFont="1" applyFill="1" applyBorder="1" applyAlignment="1">
      <alignment horizontal="right" vertical="center"/>
    </xf>
    <xf numFmtId="1" fontId="10" fillId="0" borderId="0" xfId="1" applyNumberFormat="1" applyFont="1" applyFill="1" applyBorder="1" applyAlignment="1">
      <alignment horizontal="left" vertical="center"/>
    </xf>
    <xf numFmtId="4" fontId="10" fillId="0" borderId="4" xfId="0" applyNumberFormat="1" applyFont="1" applyFill="1" applyBorder="1"/>
    <xf numFmtId="4" fontId="10" fillId="0" borderId="9" xfId="0" applyNumberFormat="1" applyFont="1" applyFill="1" applyBorder="1"/>
    <xf numFmtId="4" fontId="7" fillId="0" borderId="0" xfId="0" applyNumberFormat="1" applyFont="1" applyFill="1" applyAlignment="1">
      <alignment horizontal="left"/>
    </xf>
    <xf numFmtId="4" fontId="27" fillId="0" borderId="0" xfId="1" applyNumberFormat="1" applyFont="1"/>
    <xf numFmtId="4" fontId="10" fillId="0" borderId="4" xfId="0" applyNumberFormat="1" applyFont="1" applyFill="1" applyBorder="1" applyAlignment="1">
      <alignment vertical="center"/>
    </xf>
    <xf numFmtId="0" fontId="29" fillId="3" borderId="0" xfId="0" applyFont="1" applyFill="1"/>
    <xf numFmtId="4" fontId="54" fillId="3" borderId="0" xfId="0" applyNumberFormat="1" applyFont="1" applyFill="1"/>
    <xf numFmtId="0" fontId="53" fillId="0" borderId="0" xfId="0" applyFont="1" applyFill="1"/>
    <xf numFmtId="0" fontId="10" fillId="0" borderId="20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42" fillId="10" borderId="0" xfId="0" applyFont="1" applyFill="1" applyAlignment="1">
      <alignment vertical="center"/>
    </xf>
    <xf numFmtId="4" fontId="46" fillId="11" borderId="0" xfId="0" applyNumberFormat="1" applyFont="1" applyFill="1" applyAlignment="1">
      <alignment vertical="center"/>
    </xf>
    <xf numFmtId="4" fontId="46" fillId="0" borderId="0" xfId="1" applyNumberFormat="1" applyFont="1" applyBorder="1"/>
    <xf numFmtId="4" fontId="9" fillId="0" borderId="0" xfId="1" applyNumberFormat="1" applyFont="1"/>
    <xf numFmtId="4" fontId="15" fillId="0" borderId="0" xfId="1" applyNumberFormat="1" applyFont="1" applyAlignment="1">
      <alignment vertical="center"/>
    </xf>
    <xf numFmtId="4" fontId="55" fillId="0" borderId="0" xfId="1" applyNumberFormat="1" applyFont="1" applyAlignment="1">
      <alignment vertical="center"/>
    </xf>
    <xf numFmtId="0" fontId="41" fillId="0" borderId="0" xfId="0" applyFont="1" applyFill="1" applyAlignment="1">
      <alignment vertical="center"/>
    </xf>
    <xf numFmtId="4" fontId="56" fillId="0" borderId="0" xfId="1" applyNumberFormat="1" applyFont="1" applyAlignment="1">
      <alignment vertical="center"/>
    </xf>
    <xf numFmtId="4" fontId="57" fillId="0" borderId="0" xfId="1" applyNumberFormat="1" applyFont="1" applyAlignment="1">
      <alignment vertical="center"/>
    </xf>
    <xf numFmtId="4" fontId="3" fillId="0" borderId="0" xfId="1" applyNumberFormat="1" applyAlignment="1">
      <alignment vertical="center"/>
    </xf>
    <xf numFmtId="0" fontId="40" fillId="0" borderId="0" xfId="1" applyFont="1"/>
    <xf numFmtId="0" fontId="10" fillId="0" borderId="20" xfId="0" applyFont="1" applyFill="1" applyBorder="1" applyAlignment="1">
      <alignment vertical="center"/>
    </xf>
    <xf numFmtId="4" fontId="10" fillId="0" borderId="4" xfId="0" applyNumberFormat="1" applyFont="1" applyFill="1" applyBorder="1" applyAlignment="1">
      <alignment horizontal="right"/>
    </xf>
    <xf numFmtId="0" fontId="10" fillId="0" borderId="12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4" fontId="10" fillId="0" borderId="9" xfId="0" applyNumberFormat="1" applyFont="1" applyFill="1" applyBorder="1" applyAlignment="1">
      <alignment horizontal="right"/>
    </xf>
    <xf numFmtId="0" fontId="10" fillId="0" borderId="20" xfId="7" applyFont="1" applyFill="1" applyBorder="1" applyAlignment="1">
      <alignment horizontal="left" vertical="center" wrapText="1"/>
    </xf>
    <xf numFmtId="0" fontId="10" fillId="0" borderId="20" xfId="9" applyFont="1" applyFill="1" applyBorder="1" applyAlignment="1">
      <alignment horizontal="left"/>
    </xf>
    <xf numFmtId="0" fontId="10" fillId="0" borderId="20" xfId="9" applyFont="1" applyFill="1" applyBorder="1" applyAlignment="1">
      <alignment horizontal="left" wrapText="1"/>
    </xf>
    <xf numFmtId="0" fontId="10" fillId="0" borderId="20" xfId="1" applyFont="1" applyFill="1" applyBorder="1" applyAlignment="1">
      <alignment vertical="top" wrapText="1" shrinkToFit="1"/>
    </xf>
    <xf numFmtId="49" fontId="14" fillId="0" borderId="20" xfId="6" applyNumberFormat="1" applyFont="1" applyFill="1" applyBorder="1" applyAlignment="1">
      <alignment horizontal="left" vertical="center" wrapText="1"/>
    </xf>
    <xf numFmtId="0" fontId="45" fillId="0" borderId="0" xfId="1" applyFont="1" applyAlignment="1">
      <alignment vertical="center"/>
    </xf>
    <xf numFmtId="0" fontId="2" fillId="0" borderId="20" xfId="1" applyFont="1" applyBorder="1" applyAlignment="1">
      <alignment wrapText="1"/>
    </xf>
    <xf numFmtId="4" fontId="1" fillId="0" borderId="0" xfId="0" applyNumberFormat="1" applyFont="1" applyFill="1"/>
    <xf numFmtId="4" fontId="6" fillId="0" borderId="0" xfId="0" applyNumberFormat="1" applyFont="1" applyFill="1"/>
    <xf numFmtId="4" fontId="20" fillId="0" borderId="0" xfId="0" applyNumberFormat="1" applyFont="1" applyFill="1"/>
    <xf numFmtId="0" fontId="30" fillId="0" borderId="0" xfId="0" applyFont="1" applyFill="1"/>
    <xf numFmtId="4" fontId="30" fillId="0" borderId="0" xfId="0" applyNumberFormat="1" applyFont="1" applyFill="1"/>
    <xf numFmtId="4" fontId="6" fillId="9" borderId="4" xfId="1" applyNumberFormat="1" applyFont="1" applyFill="1" applyBorder="1" applyAlignment="1">
      <alignment vertical="center"/>
    </xf>
    <xf numFmtId="4" fontId="6" fillId="0" borderId="4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vertical="center"/>
    </xf>
    <xf numFmtId="0" fontId="49" fillId="0" borderId="0" xfId="1" applyFont="1" applyAlignment="1">
      <alignment vertical="center"/>
    </xf>
    <xf numFmtId="4" fontId="58" fillId="4" borderId="0" xfId="1" applyNumberFormat="1" applyFont="1" applyFill="1"/>
    <xf numFmtId="4" fontId="10" fillId="0" borderId="0" xfId="1" applyNumberFormat="1" applyFont="1" applyFill="1" applyBorder="1" applyAlignment="1">
      <alignment horizontal="right" vertical="center"/>
    </xf>
    <xf numFmtId="0" fontId="10" fillId="0" borderId="20" xfId="7" applyFont="1" applyFill="1" applyBorder="1" applyAlignment="1">
      <alignment vertical="center" wrapText="1"/>
    </xf>
    <xf numFmtId="4" fontId="3" fillId="0" borderId="0" xfId="1" applyNumberFormat="1" applyBorder="1"/>
    <xf numFmtId="0" fontId="59" fillId="0" borderId="0" xfId="1" applyFont="1"/>
  </cellXfs>
  <cellStyles count="13">
    <cellStyle name="Normální" xfId="0" builtinId="0"/>
    <cellStyle name="Normální 2" xfId="1"/>
    <cellStyle name="normální 2 2" xfId="10"/>
    <cellStyle name="normální_07-09-Návrh investic PO OKPP na rok 2008 - PRIORITY - konečný přehled -17 10 2007" xfId="2"/>
    <cellStyle name="normální_investice 2005- doprava-upravený2" xfId="3"/>
    <cellStyle name="normální_investice 2005- doprava-upravený2 2" xfId="11"/>
    <cellStyle name="normální_Investice 2005-sociální, zdravotní, kutura" xfId="4"/>
    <cellStyle name="normální_Investice 2005-sociální, zdravotní, kutura 2" xfId="5"/>
    <cellStyle name="normální_Kultura -Přehled investic PO OKPP na rok 2009 - 3.10.2008" xfId="6"/>
    <cellStyle name="normální_Sociální - investice a opravy 2009 - sumarizace vč. prior - 10-12-2008" xfId="7"/>
    <cellStyle name="normální_Studie IZ - silnice 2003" xfId="8"/>
    <cellStyle name="normální_Studie IZ - silnice 2003 2" xfId="9"/>
    <cellStyle name="normální_Studie IZ - silnice 2003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M65"/>
  <sheetViews>
    <sheetView showGridLines="0" tabSelected="1" view="pageBreakPreview" zoomScaleNormal="100" zoomScaleSheetLayoutView="100" workbookViewId="0">
      <selection activeCell="B41" sqref="B41"/>
    </sheetView>
  </sheetViews>
  <sheetFormatPr defaultRowHeight="12.75" x14ac:dyDescent="0.2"/>
  <cols>
    <col min="1" max="1" width="29.140625" style="30" customWidth="1"/>
    <col min="2" max="2" width="19.5703125" style="30" customWidth="1"/>
    <col min="3" max="4" width="21.85546875" style="30" bestFit="1" customWidth="1"/>
    <col min="5" max="5" width="3.28515625" style="30" customWidth="1"/>
    <col min="6" max="6" width="22.5703125" style="30" customWidth="1"/>
    <col min="7" max="7" width="23.7109375" style="30" customWidth="1"/>
    <col min="8" max="8" width="16.28515625" style="30" bestFit="1" customWidth="1"/>
    <col min="9" max="9" width="18.85546875" style="30" customWidth="1"/>
    <col min="10" max="16384" width="9.140625" style="30"/>
  </cols>
  <sheetData>
    <row r="1" spans="1:9" ht="18" x14ac:dyDescent="0.25">
      <c r="A1" s="37" t="s">
        <v>338</v>
      </c>
      <c r="B1" s="38"/>
      <c r="C1" s="38"/>
      <c r="D1" s="38"/>
    </row>
    <row r="2" spans="1:9" ht="18.75" thickBot="1" x14ac:dyDescent="0.3">
      <c r="A2" s="39"/>
      <c r="B2" s="40"/>
      <c r="C2" s="40"/>
      <c r="D2" s="41" t="s">
        <v>18</v>
      </c>
    </row>
    <row r="3" spans="1:9" ht="14.25" thickTop="1" thickBot="1" x14ac:dyDescent="0.25">
      <c r="A3" s="42"/>
      <c r="B3" s="43" t="s">
        <v>0</v>
      </c>
      <c r="C3" s="44" t="s">
        <v>1</v>
      </c>
      <c r="D3" s="45" t="s">
        <v>4</v>
      </c>
    </row>
    <row r="4" spans="1:9" ht="16.5" thickTop="1" x14ac:dyDescent="0.25">
      <c r="A4" s="46" t="s">
        <v>7</v>
      </c>
      <c r="B4" s="182">
        <f>SUM(B5:B8)</f>
        <v>129724000</v>
      </c>
      <c r="C4" s="47">
        <f>SUM(C5:C8)</f>
        <v>179281649.20999998</v>
      </c>
      <c r="D4" s="331">
        <f>SUM(D5:D8)</f>
        <v>168539435.26999998</v>
      </c>
    </row>
    <row r="5" spans="1:9" x14ac:dyDescent="0.2">
      <c r="A5" s="49" t="s">
        <v>34</v>
      </c>
      <c r="B5" s="181">
        <f>'8c. OK 2013'!B253</f>
        <v>19775000</v>
      </c>
      <c r="C5" s="181">
        <f>'8c. OK 2013'!C253</f>
        <v>30840887.48</v>
      </c>
      <c r="D5" s="332">
        <f>'8c. OK 2013'!D253</f>
        <v>29440011.32</v>
      </c>
    </row>
    <row r="6" spans="1:9" x14ac:dyDescent="0.2">
      <c r="A6" s="49" t="s">
        <v>35</v>
      </c>
      <c r="B6" s="181">
        <f>'8b. KB 2013'!B162</f>
        <v>15782000</v>
      </c>
      <c r="C6" s="181">
        <f>'8b. KB 2013'!C162</f>
        <v>30442523.809999999</v>
      </c>
      <c r="D6" s="332">
        <f>'8b. KB 2013'!D162</f>
        <v>30385584.09</v>
      </c>
    </row>
    <row r="7" spans="1:9" x14ac:dyDescent="0.2">
      <c r="A7" s="49" t="s">
        <v>36</v>
      </c>
      <c r="B7" s="181">
        <f>'8a. EIB - Evropské programy'!B96</f>
        <v>94167000</v>
      </c>
      <c r="C7" s="181">
        <f>'8a. EIB - Evropské programy'!C96</f>
        <v>110726767.12999998</v>
      </c>
      <c r="D7" s="332">
        <f>'8a. EIB - Evropské programy'!D96</f>
        <v>106322120.97999997</v>
      </c>
    </row>
    <row r="8" spans="1:9" x14ac:dyDescent="0.2">
      <c r="A8" s="49" t="s">
        <v>423</v>
      </c>
      <c r="B8" s="181">
        <f>'d) dotace'!B29</f>
        <v>0</v>
      </c>
      <c r="C8" s="181">
        <f>'d) dotace'!C29</f>
        <v>7271470.79</v>
      </c>
      <c r="D8" s="332">
        <f>'d) dotace'!D29</f>
        <v>2391718.88</v>
      </c>
    </row>
    <row r="9" spans="1:9" ht="15.75" x14ac:dyDescent="0.25">
      <c r="A9" s="46" t="s">
        <v>9</v>
      </c>
      <c r="B9" s="182">
        <f>SUM(B10:B13)</f>
        <v>244899000</v>
      </c>
      <c r="C9" s="47">
        <f>SUM(C10:C13)</f>
        <v>276484427.53999996</v>
      </c>
      <c r="D9" s="48">
        <f>SUM(D10:D13)</f>
        <v>250667387.91000003</v>
      </c>
    </row>
    <row r="10" spans="1:9" x14ac:dyDescent="0.2">
      <c r="A10" s="49" t="s">
        <v>34</v>
      </c>
      <c r="B10" s="181">
        <f>'8c. OK 2013'!B254</f>
        <v>26753000</v>
      </c>
      <c r="C10" s="181">
        <f>'8c. OK 2013'!C254</f>
        <v>31254841.859999999</v>
      </c>
      <c r="D10" s="332">
        <f>'8c. OK 2013'!D254</f>
        <v>30046679.82</v>
      </c>
      <c r="G10" s="50"/>
      <c r="H10" s="51"/>
      <c r="I10" s="52"/>
    </row>
    <row r="11" spans="1:9" x14ac:dyDescent="0.2">
      <c r="A11" s="49" t="s">
        <v>35</v>
      </c>
      <c r="B11" s="181">
        <f>'8b. KB 2013'!B163</f>
        <v>42971000</v>
      </c>
      <c r="C11" s="181">
        <f>'8b. KB 2013'!C163</f>
        <v>43939369.589999996</v>
      </c>
      <c r="D11" s="332">
        <f>'8b. KB 2013'!D163</f>
        <v>43759285.189999998</v>
      </c>
      <c r="G11" s="38"/>
      <c r="H11" s="38"/>
      <c r="I11" s="38"/>
    </row>
    <row r="12" spans="1:9" x14ac:dyDescent="0.2">
      <c r="A12" s="49" t="s">
        <v>36</v>
      </c>
      <c r="B12" s="181">
        <f>'8a. EIB - Evropské programy'!B97</f>
        <v>175175000</v>
      </c>
      <c r="C12" s="181">
        <f>'8a. EIB - Evropské programy'!C97</f>
        <v>193454135.09999999</v>
      </c>
      <c r="D12" s="332">
        <f>'8a. EIB - Evropské programy'!D97</f>
        <v>169025341.91000003</v>
      </c>
    </row>
    <row r="13" spans="1:9" x14ac:dyDescent="0.2">
      <c r="A13" s="49" t="s">
        <v>423</v>
      </c>
      <c r="B13" s="181">
        <f>'d) dotace'!B30</f>
        <v>0</v>
      </c>
      <c r="C13" s="181">
        <f>'d) dotace'!C30</f>
        <v>7836080.9900000002</v>
      </c>
      <c r="D13" s="332">
        <f>'d) dotace'!D30</f>
        <v>7836080.9900000002</v>
      </c>
    </row>
    <row r="14" spans="1:9" ht="15.75" x14ac:dyDescent="0.25">
      <c r="A14" s="46" t="s">
        <v>11</v>
      </c>
      <c r="B14" s="182">
        <f>SUM(B15:B18)</f>
        <v>123958000</v>
      </c>
      <c r="C14" s="47">
        <f>SUM(C15:C18)</f>
        <v>250441015.68000001</v>
      </c>
      <c r="D14" s="48">
        <f>SUM(D15:D18)</f>
        <v>245835712.35000005</v>
      </c>
    </row>
    <row r="15" spans="1:9" x14ac:dyDescent="0.2">
      <c r="A15" s="49" t="s">
        <v>34</v>
      </c>
      <c r="B15" s="181">
        <f>'8c. OK 2013'!B255</f>
        <v>59426000</v>
      </c>
      <c r="C15" s="181">
        <f>'8c. OK 2013'!C255</f>
        <v>41389829.710000008</v>
      </c>
      <c r="D15" s="332">
        <f>'8c. OK 2013'!D255</f>
        <v>38046475.480000012</v>
      </c>
    </row>
    <row r="16" spans="1:9" x14ac:dyDescent="0.2">
      <c r="A16" s="49" t="s">
        <v>35</v>
      </c>
      <c r="B16" s="181">
        <f>'8b. KB 2013'!B164</f>
        <v>10365000</v>
      </c>
      <c r="C16" s="181">
        <f>'8b. KB 2013'!C164</f>
        <v>11209502.219999999</v>
      </c>
      <c r="D16" s="332">
        <f>'8b. KB 2013'!D164</f>
        <v>10130991.35</v>
      </c>
    </row>
    <row r="17" spans="1:4" x14ac:dyDescent="0.2">
      <c r="A17" s="49" t="s">
        <v>36</v>
      </c>
      <c r="B17" s="181">
        <f>'8a. EIB - Evropské programy'!B98</f>
        <v>54167000</v>
      </c>
      <c r="C17" s="181">
        <f>'8a. EIB - Evropské programy'!C98</f>
        <v>197841683.75</v>
      </c>
      <c r="D17" s="332">
        <f>'8a. EIB - Evropské programy'!D98</f>
        <v>197658245.52000004</v>
      </c>
    </row>
    <row r="18" spans="1:4" hidden="1" x14ac:dyDescent="0.2">
      <c r="A18" s="49" t="s">
        <v>65</v>
      </c>
      <c r="B18" s="181"/>
      <c r="C18" s="181"/>
      <c r="D18" s="332"/>
    </row>
    <row r="19" spans="1:4" ht="15.75" x14ac:dyDescent="0.25">
      <c r="A19" s="46" t="s">
        <v>8</v>
      </c>
      <c r="B19" s="182">
        <f>SUM(B20:B21)</f>
        <v>17570000</v>
      </c>
      <c r="C19" s="47">
        <f>SUM(C20:C21)</f>
        <v>22166895.77</v>
      </c>
      <c r="D19" s="48">
        <f>SUM(D20:D21)</f>
        <v>20161740.16</v>
      </c>
    </row>
    <row r="20" spans="1:4" x14ac:dyDescent="0.2">
      <c r="A20" s="49" t="s">
        <v>34</v>
      </c>
      <c r="B20" s="181">
        <f>'8c. OK 2013'!B256</f>
        <v>9320000</v>
      </c>
      <c r="C20" s="181">
        <f>'8c. OK 2013'!C256</f>
        <v>8978890.7699999996</v>
      </c>
      <c r="D20" s="332">
        <f>'8c. OK 2013'!D256</f>
        <v>8140646.4900000002</v>
      </c>
    </row>
    <row r="21" spans="1:4" x14ac:dyDescent="0.2">
      <c r="A21" s="49" t="s">
        <v>35</v>
      </c>
      <c r="B21" s="181">
        <f>'8b. KB 2013'!B165</f>
        <v>8250000</v>
      </c>
      <c r="C21" s="181">
        <f>'8b. KB 2013'!C165</f>
        <v>13188005</v>
      </c>
      <c r="D21" s="332">
        <f>'8b. KB 2013'!D165</f>
        <v>12021093.67</v>
      </c>
    </row>
    <row r="22" spans="1:4" ht="15.75" x14ac:dyDescent="0.25">
      <c r="A22" s="46" t="s">
        <v>10</v>
      </c>
      <c r="B22" s="182">
        <f>SUM(B23:B25)</f>
        <v>36279000</v>
      </c>
      <c r="C22" s="47">
        <f>SUM(C23:C25)</f>
        <v>130518649.31</v>
      </c>
      <c r="D22" s="48">
        <f>SUM(D23:D25)</f>
        <v>98313466.960000008</v>
      </c>
    </row>
    <row r="23" spans="1:4" x14ac:dyDescent="0.2">
      <c r="A23" s="49" t="s">
        <v>34</v>
      </c>
      <c r="B23" s="181">
        <f>'8c. OK 2013'!B257</f>
        <v>28279000</v>
      </c>
      <c r="C23" s="181">
        <f>'8c. OK 2013'!C257</f>
        <v>46887112</v>
      </c>
      <c r="D23" s="332">
        <f>'8c. OK 2013'!D257</f>
        <v>14970378.800000001</v>
      </c>
    </row>
    <row r="24" spans="1:4" x14ac:dyDescent="0.2">
      <c r="A24" s="49" t="s">
        <v>35</v>
      </c>
      <c r="B24" s="181">
        <f>'8b. KB 2013'!B166</f>
        <v>8000000</v>
      </c>
      <c r="C24" s="181">
        <f>'8b. KB 2013'!C166</f>
        <v>14573640.59</v>
      </c>
      <c r="D24" s="332">
        <f>'8b. KB 2013'!D166</f>
        <v>14457890.58</v>
      </c>
    </row>
    <row r="25" spans="1:4" x14ac:dyDescent="0.2">
      <c r="A25" s="49" t="s">
        <v>36</v>
      </c>
      <c r="B25" s="181">
        <f>'8a. EIB - Evropské programy'!B99</f>
        <v>0</v>
      </c>
      <c r="C25" s="181">
        <f>'8a. EIB - Evropské programy'!C99</f>
        <v>69057896.719999999</v>
      </c>
      <c r="D25" s="332">
        <f>'8a. EIB - Evropské programy'!D99</f>
        <v>68885197.579999998</v>
      </c>
    </row>
    <row r="26" spans="1:4" ht="31.5" x14ac:dyDescent="0.25">
      <c r="A26" s="514" t="s">
        <v>124</v>
      </c>
      <c r="B26" s="520">
        <f>SUM(B27)</f>
        <v>0</v>
      </c>
      <c r="C26" s="521">
        <f>SUM(C27)</f>
        <v>143068039.02000001</v>
      </c>
      <c r="D26" s="522">
        <f>SUM(D27)</f>
        <v>143068039.02000001</v>
      </c>
    </row>
    <row r="27" spans="1:4" x14ac:dyDescent="0.2">
      <c r="A27" s="49" t="s">
        <v>36</v>
      </c>
      <c r="B27" s="181">
        <f>'8a. EIB - Evropské programy'!B100</f>
        <v>0</v>
      </c>
      <c r="C27" s="181">
        <f>'8a. EIB - Evropské programy'!C100</f>
        <v>143068039.02000001</v>
      </c>
      <c r="D27" s="332">
        <f>'8a. EIB - Evropské programy'!D100</f>
        <v>143068039.02000001</v>
      </c>
    </row>
    <row r="28" spans="1:4" ht="15.75" x14ac:dyDescent="0.25">
      <c r="A28" s="46" t="s">
        <v>37</v>
      </c>
      <c r="B28" s="182">
        <f>SUM(B29:B30)</f>
        <v>1627000</v>
      </c>
      <c r="C28" s="182">
        <f>SUM(C29:C30)</f>
        <v>6512569.7800000003</v>
      </c>
      <c r="D28" s="333">
        <f>SUM(D29:D30)</f>
        <v>6427431.2700000005</v>
      </c>
    </row>
    <row r="29" spans="1:4" x14ac:dyDescent="0.2">
      <c r="A29" s="49" t="s">
        <v>34</v>
      </c>
      <c r="B29" s="181">
        <f>'8c. OK 2013'!B258</f>
        <v>1627000</v>
      </c>
      <c r="C29" s="181">
        <f>'8c. OK 2013'!C258</f>
        <v>3616230.29</v>
      </c>
      <c r="D29" s="332">
        <f>'8c. OK 2013'!D258</f>
        <v>3531091.7800000003</v>
      </c>
    </row>
    <row r="30" spans="1:4" ht="13.5" thickBot="1" x14ac:dyDescent="0.25">
      <c r="A30" s="49" t="s">
        <v>35</v>
      </c>
      <c r="B30" s="181">
        <f>'8b. KB 2013'!B167</f>
        <v>0</v>
      </c>
      <c r="C30" s="181">
        <f>'8b. KB 2013'!C167</f>
        <v>2896339.49</v>
      </c>
      <c r="D30" s="334">
        <f>'8b. KB 2013'!D167</f>
        <v>2896339.49</v>
      </c>
    </row>
    <row r="31" spans="1:4" ht="17.25" thickTop="1" thickBot="1" x14ac:dyDescent="0.3">
      <c r="A31" s="54" t="s">
        <v>38</v>
      </c>
      <c r="B31" s="55">
        <f>SUM(B4,B9,B14,B19,B22,B26,B28)</f>
        <v>554057000</v>
      </c>
      <c r="C31" s="55">
        <f>SUM(C4,C9,C14,C19,C22,C26,C28)</f>
        <v>1008473246.3099999</v>
      </c>
      <c r="D31" s="56">
        <f>SUM(D4,D9,D14,D19,D22,D26,D28)</f>
        <v>933013212.94000006</v>
      </c>
    </row>
    <row r="32" spans="1:4" s="59" customFormat="1" ht="16.5" thickTop="1" x14ac:dyDescent="0.25">
      <c r="A32" s="57"/>
      <c r="B32" s="58"/>
      <c r="C32" s="58"/>
      <c r="D32" s="58"/>
    </row>
    <row r="33" spans="1:13" s="59" customFormat="1" ht="15.75" x14ac:dyDescent="0.25">
      <c r="A33" s="57"/>
      <c r="B33" s="58"/>
      <c r="C33" s="58"/>
      <c r="D33" s="58"/>
    </row>
    <row r="34" spans="1:13" s="59" customFormat="1" ht="15.75" x14ac:dyDescent="0.25">
      <c r="A34" s="57"/>
      <c r="B34" s="58"/>
      <c r="C34" s="58"/>
      <c r="D34" s="58"/>
    </row>
    <row r="35" spans="1:13" s="59" customFormat="1" ht="15.75" x14ac:dyDescent="0.25">
      <c r="A35" s="60" t="s">
        <v>39</v>
      </c>
      <c r="B35" s="58"/>
      <c r="C35" s="58"/>
      <c r="D35" s="58"/>
    </row>
    <row r="36" spans="1:13" s="59" customFormat="1" ht="16.5" thickBot="1" x14ac:dyDescent="0.3">
      <c r="A36" s="60"/>
      <c r="B36" s="58"/>
      <c r="C36" s="58"/>
      <c r="D36" s="41" t="s">
        <v>18</v>
      </c>
    </row>
    <row r="37" spans="1:13" s="59" customFormat="1" ht="14.25" thickTop="1" thickBot="1" x14ac:dyDescent="0.25">
      <c r="A37" s="42"/>
      <c r="B37" s="43" t="s">
        <v>0</v>
      </c>
      <c r="C37" s="44" t="s">
        <v>1</v>
      </c>
      <c r="D37" s="45" t="s">
        <v>4</v>
      </c>
    </row>
    <row r="38" spans="1:13" s="63" customFormat="1" ht="15" thickTop="1" x14ac:dyDescent="0.2">
      <c r="A38" s="61" t="s">
        <v>40</v>
      </c>
      <c r="B38" s="62">
        <f>'8c. OK 2013'!B259</f>
        <v>145180000</v>
      </c>
      <c r="C38" s="62">
        <f>'8c. OK 2013'!C259</f>
        <v>162967792.10999998</v>
      </c>
      <c r="D38" s="335">
        <f>'8c. OK 2013'!D259</f>
        <v>124175283.69</v>
      </c>
    </row>
    <row r="39" spans="1:13" s="63" customFormat="1" ht="14.25" x14ac:dyDescent="0.2">
      <c r="A39" s="61" t="s">
        <v>41</v>
      </c>
      <c r="B39" s="62">
        <f>'8b. KB 2013'!B168</f>
        <v>85368000</v>
      </c>
      <c r="C39" s="62">
        <f>'8b. KB 2013'!C168</f>
        <v>116249380.69999999</v>
      </c>
      <c r="D39" s="238">
        <f>'8b. KB 2013'!D168</f>
        <v>113651184.36999999</v>
      </c>
    </row>
    <row r="40" spans="1:13" s="63" customFormat="1" ht="14.25" x14ac:dyDescent="0.2">
      <c r="A40" s="61" t="s">
        <v>42</v>
      </c>
      <c r="B40" s="62">
        <f>'8a. EIB - Evropské programy'!B101</f>
        <v>323509000</v>
      </c>
      <c r="C40" s="62">
        <f>'8a. EIB - Evropské programy'!C101</f>
        <v>714148521.71999991</v>
      </c>
      <c r="D40" s="238">
        <f>'8a. EIB - Evropské programy'!D101</f>
        <v>684958945.00999999</v>
      </c>
    </row>
    <row r="41" spans="1:13" s="63" customFormat="1" ht="15" thickBot="1" x14ac:dyDescent="0.25">
      <c r="A41" s="61" t="s">
        <v>422</v>
      </c>
      <c r="B41" s="62">
        <f>'d) dotace'!B31</f>
        <v>0</v>
      </c>
      <c r="C41" s="62">
        <f>'d) dotace'!C31</f>
        <v>15107551.780000001</v>
      </c>
      <c r="D41" s="238">
        <f>'d) dotace'!D31</f>
        <v>10227799.870000001</v>
      </c>
    </row>
    <row r="42" spans="1:13" s="64" customFormat="1" ht="17.25" thickTop="1" thickBot="1" x14ac:dyDescent="0.3">
      <c r="A42" s="54" t="s">
        <v>38</v>
      </c>
      <c r="B42" s="55">
        <f>SUM(B38:B41)</f>
        <v>554057000</v>
      </c>
      <c r="C42" s="55">
        <f t="shared" ref="C42:D42" si="0">SUM(C38:C41)</f>
        <v>1008473246.3099998</v>
      </c>
      <c r="D42" s="56">
        <f t="shared" si="0"/>
        <v>933013212.93999994</v>
      </c>
    </row>
    <row r="43" spans="1:13" s="59" customFormat="1" ht="16.5" thickTop="1" x14ac:dyDescent="0.25">
      <c r="A43" s="65"/>
      <c r="B43" s="66"/>
      <c r="C43" s="66"/>
      <c r="D43" s="66"/>
    </row>
    <row r="44" spans="1:13" s="59" customFormat="1" x14ac:dyDescent="0.2"/>
    <row r="45" spans="1:13" s="59" customFormat="1" x14ac:dyDescent="0.2"/>
    <row r="46" spans="1:13" s="67" customFormat="1" x14ac:dyDescent="0.2"/>
    <row r="47" spans="1:13" s="67" customFormat="1" x14ac:dyDescent="0.2">
      <c r="A47" s="239" t="s">
        <v>43</v>
      </c>
      <c r="B47" s="240"/>
      <c r="C47" s="240"/>
      <c r="D47" s="240"/>
      <c r="E47" s="240"/>
      <c r="F47" s="239" t="s">
        <v>44</v>
      </c>
      <c r="G47" s="240"/>
      <c r="H47" s="240"/>
      <c r="I47" s="240"/>
      <c r="J47" s="240"/>
      <c r="K47" s="240"/>
      <c r="L47" s="183"/>
      <c r="M47" s="183"/>
    </row>
    <row r="48" spans="1:13" s="67" customFormat="1" x14ac:dyDescent="0.2">
      <c r="A48" s="183"/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</row>
    <row r="49" spans="1:13" s="67" customFormat="1" x14ac:dyDescent="0.2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</row>
    <row r="50" spans="1:13" s="67" customFormat="1" x14ac:dyDescent="0.2"/>
    <row r="51" spans="1:13" s="67" customFormat="1" x14ac:dyDescent="0.2"/>
    <row r="52" spans="1:13" s="67" customFormat="1" x14ac:dyDescent="0.2"/>
    <row r="53" spans="1:13" s="67" customFormat="1" x14ac:dyDescent="0.2"/>
    <row r="54" spans="1:13" s="67" customFormat="1" x14ac:dyDescent="0.2"/>
    <row r="55" spans="1:13" s="67" customFormat="1" x14ac:dyDescent="0.2"/>
    <row r="56" spans="1:13" s="67" customFormat="1" x14ac:dyDescent="0.2"/>
    <row r="57" spans="1:13" s="67" customFormat="1" x14ac:dyDescent="0.2"/>
    <row r="58" spans="1:13" s="67" customFormat="1" x14ac:dyDescent="0.2"/>
    <row r="59" spans="1:13" s="67" customFormat="1" x14ac:dyDescent="0.2"/>
    <row r="60" spans="1:13" s="67" customFormat="1" x14ac:dyDescent="0.2"/>
    <row r="61" spans="1:13" s="67" customFormat="1" x14ac:dyDescent="0.2"/>
    <row r="62" spans="1:13" s="67" customFormat="1" x14ac:dyDescent="0.2"/>
    <row r="63" spans="1:13" s="67" customFormat="1" x14ac:dyDescent="0.2"/>
    <row r="64" spans="1:13" s="67" customFormat="1" x14ac:dyDescent="0.2"/>
    <row r="65" s="67" customFormat="1" x14ac:dyDescent="0.2"/>
  </sheetData>
  <pageMargins left="0.78740157480314965" right="0.78740157480314965" top="0.98425196850393704" bottom="0.98425196850393704" header="0.51181102362204722" footer="0.51181102362204722"/>
  <pageSetup paperSize="9" scale="94" firstPageNumber="186" orientation="portrait" useFirstPageNumber="1" r:id="rId1"/>
  <headerFooter alignWithMargins="0">
    <oddFooter>&amp;L&amp;"Arial,Kurzíva"Zastupitelstvo Olomouckého kraje 20.6.2014
5.2. - Závěrečný účet Olomouckého kraje za rok 2013
Příloha č. 8: Přehled financování investičních akcí v roce 2013&amp;R&amp;"Arial,Kurzíva"Strana &amp;P (celkem 480)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5"/>
  <sheetViews>
    <sheetView showGridLines="0" view="pageBreakPreview" topLeftCell="A55" zoomScaleNormal="100" zoomScaleSheetLayoutView="100" workbookViewId="0">
      <selection activeCell="G19" sqref="G19"/>
    </sheetView>
  </sheetViews>
  <sheetFormatPr defaultRowHeight="12.75" x14ac:dyDescent="0.2"/>
  <cols>
    <col min="1" max="1" width="59.5703125" style="19" customWidth="1"/>
    <col min="2" max="2" width="17.28515625" style="198" customWidth="1"/>
    <col min="3" max="3" width="17.42578125" style="21" customWidth="1"/>
    <col min="4" max="4" width="16.85546875" style="177" customWidth="1"/>
    <col min="5" max="5" width="7.7109375" style="21" customWidth="1"/>
    <col min="6" max="6" width="14.85546875" style="18" customWidth="1"/>
    <col min="7" max="7" width="9.140625" style="18"/>
    <col min="8" max="8" width="12.28515625" style="18" customWidth="1"/>
    <col min="9" max="9" width="15.42578125" style="18" bestFit="1" customWidth="1"/>
    <col min="10" max="11" width="17.28515625" style="18" customWidth="1"/>
    <col min="12" max="16384" width="9.140625" style="18"/>
  </cols>
  <sheetData>
    <row r="1" spans="1:11" ht="18" x14ac:dyDescent="0.25">
      <c r="A1" s="13" t="s">
        <v>234</v>
      </c>
    </row>
    <row r="2" spans="1:11" ht="15" x14ac:dyDescent="0.25">
      <c r="A2" s="14" t="s">
        <v>23</v>
      </c>
    </row>
    <row r="3" spans="1:11" ht="7.5" customHeight="1" x14ac:dyDescent="0.25">
      <c r="A3" s="20"/>
    </row>
    <row r="4" spans="1:11" ht="18.75" customHeight="1" x14ac:dyDescent="0.25">
      <c r="A4" s="13" t="s">
        <v>24</v>
      </c>
    </row>
    <row r="5" spans="1:11" ht="15.75" thickBot="1" x14ac:dyDescent="0.3">
      <c r="A5" s="14" t="s">
        <v>292</v>
      </c>
      <c r="E5" s="21" t="s">
        <v>18</v>
      </c>
    </row>
    <row r="6" spans="1:11" s="22" customFormat="1" ht="16.5" thickTop="1" thickBot="1" x14ac:dyDescent="0.3">
      <c r="A6" s="242" t="s">
        <v>5</v>
      </c>
      <c r="B6" s="199" t="s">
        <v>0</v>
      </c>
      <c r="C6" s="200" t="s">
        <v>1</v>
      </c>
      <c r="D6" s="201" t="s">
        <v>4</v>
      </c>
      <c r="E6" s="185" t="s">
        <v>6</v>
      </c>
    </row>
    <row r="7" spans="1:11" ht="15.75" thickTop="1" x14ac:dyDescent="0.25">
      <c r="A7" s="69" t="s">
        <v>7</v>
      </c>
      <c r="B7" s="451">
        <f>SUM(B8:B29)</f>
        <v>94167000</v>
      </c>
      <c r="C7" s="451">
        <f>SUM(C8:C29)</f>
        <v>110726767.12999998</v>
      </c>
      <c r="D7" s="451">
        <f>SUM(D8:D29)</f>
        <v>106322120.97999997</v>
      </c>
      <c r="E7" s="189">
        <f t="shared" ref="E7:E29" si="0">D7/C7*100</f>
        <v>96.022058383743214</v>
      </c>
      <c r="F7" s="18" t="s">
        <v>22</v>
      </c>
    </row>
    <row r="8" spans="1:11" ht="12.75" customHeight="1" x14ac:dyDescent="0.2">
      <c r="A8" s="459" t="s">
        <v>117</v>
      </c>
      <c r="B8" s="379">
        <v>94167000</v>
      </c>
      <c r="C8" s="379">
        <v>98288700</v>
      </c>
      <c r="D8" s="379">
        <v>97601551.810000002</v>
      </c>
      <c r="E8" s="380">
        <f>D8/C8*100</f>
        <v>99.300887904713363</v>
      </c>
      <c r="F8" s="273">
        <v>100537</v>
      </c>
    </row>
    <row r="9" spans="1:11" x14ac:dyDescent="0.2">
      <c r="A9" s="460" t="s">
        <v>295</v>
      </c>
      <c r="B9" s="367">
        <v>0</v>
      </c>
      <c r="C9" s="367">
        <v>1640000</v>
      </c>
      <c r="D9" s="367">
        <v>1631059.56</v>
      </c>
      <c r="E9" s="378">
        <f t="shared" si="0"/>
        <v>99.454851219512193</v>
      </c>
      <c r="F9" s="447">
        <v>100134</v>
      </c>
    </row>
    <row r="10" spans="1:11" x14ac:dyDescent="0.2">
      <c r="A10" s="460" t="s">
        <v>136</v>
      </c>
      <c r="B10" s="367">
        <v>0</v>
      </c>
      <c r="C10" s="367">
        <v>30180.6</v>
      </c>
      <c r="D10" s="367">
        <v>8750</v>
      </c>
      <c r="E10" s="378">
        <f t="shared" si="0"/>
        <v>28.992134019867066</v>
      </c>
      <c r="F10" s="447">
        <v>100463</v>
      </c>
    </row>
    <row r="11" spans="1:11" ht="24" x14ac:dyDescent="0.2">
      <c r="A11" s="461" t="s">
        <v>296</v>
      </c>
      <c r="B11" s="367">
        <v>0</v>
      </c>
      <c r="C11" s="367">
        <v>8000</v>
      </c>
      <c r="D11" s="367">
        <v>7260</v>
      </c>
      <c r="E11" s="378">
        <f t="shared" si="0"/>
        <v>90.75</v>
      </c>
      <c r="F11" s="447">
        <v>100509</v>
      </c>
    </row>
    <row r="12" spans="1:11" x14ac:dyDescent="0.2">
      <c r="A12" s="460" t="s">
        <v>131</v>
      </c>
      <c r="B12" s="367">
        <v>0</v>
      </c>
      <c r="C12" s="367">
        <v>50000</v>
      </c>
      <c r="D12" s="367">
        <v>8850</v>
      </c>
      <c r="E12" s="378">
        <f t="shared" si="0"/>
        <v>17.7</v>
      </c>
      <c r="F12" s="447">
        <v>100510</v>
      </c>
    </row>
    <row r="13" spans="1:11" x14ac:dyDescent="0.2">
      <c r="A13" s="460" t="s">
        <v>139</v>
      </c>
      <c r="B13" s="367">
        <v>0</v>
      </c>
      <c r="C13" s="367">
        <v>40750</v>
      </c>
      <c r="D13" s="367">
        <v>24250</v>
      </c>
      <c r="E13" s="378">
        <f t="shared" si="0"/>
        <v>59.509202453987733</v>
      </c>
      <c r="F13" s="447">
        <v>100511</v>
      </c>
      <c r="H13" s="275" t="s">
        <v>71</v>
      </c>
      <c r="I13" s="308">
        <f>SUM(B8)</f>
        <v>94167000</v>
      </c>
      <c r="J13" s="308">
        <f t="shared" ref="J13:K13" si="1">SUM(C8)</f>
        <v>98288700</v>
      </c>
      <c r="K13" s="308">
        <f t="shared" si="1"/>
        <v>97601551.810000002</v>
      </c>
    </row>
    <row r="14" spans="1:11" ht="24" x14ac:dyDescent="0.2">
      <c r="A14" s="461" t="s">
        <v>140</v>
      </c>
      <c r="B14" s="367">
        <v>0</v>
      </c>
      <c r="C14" s="367">
        <v>1747700.07</v>
      </c>
      <c r="D14" s="367">
        <v>1743200.07</v>
      </c>
      <c r="E14" s="378">
        <f t="shared" si="0"/>
        <v>99.742518749226804</v>
      </c>
      <c r="F14" s="447">
        <v>100512</v>
      </c>
      <c r="H14" s="448" t="s">
        <v>297</v>
      </c>
      <c r="I14" s="449">
        <f>SUM(B9:B27)</f>
        <v>0</v>
      </c>
      <c r="J14" s="449">
        <f t="shared" ref="J14:K14" si="2">SUM(C9:C27)</f>
        <v>8207656.6100000003</v>
      </c>
      <c r="K14" s="449">
        <f t="shared" si="2"/>
        <v>7766343.1699999999</v>
      </c>
    </row>
    <row r="15" spans="1:11" x14ac:dyDescent="0.2">
      <c r="A15" s="461" t="s">
        <v>141</v>
      </c>
      <c r="B15" s="367">
        <v>0</v>
      </c>
      <c r="C15" s="367">
        <v>380000</v>
      </c>
      <c r="D15" s="367">
        <v>359088</v>
      </c>
      <c r="E15" s="378">
        <f t="shared" si="0"/>
        <v>94.496842105263156</v>
      </c>
      <c r="F15" s="447">
        <v>100513</v>
      </c>
      <c r="H15" s="454" t="s">
        <v>158</v>
      </c>
      <c r="I15" s="455">
        <f>SUM(B28:B29)</f>
        <v>0</v>
      </c>
      <c r="J15" s="455">
        <f t="shared" ref="J15:K15" si="3">SUM(C28:C29)</f>
        <v>4230410.5199999996</v>
      </c>
      <c r="K15" s="455">
        <f t="shared" si="3"/>
        <v>954226</v>
      </c>
    </row>
    <row r="16" spans="1:11" ht="24" x14ac:dyDescent="0.25">
      <c r="A16" s="461" t="s">
        <v>142</v>
      </c>
      <c r="B16" s="367">
        <v>0</v>
      </c>
      <c r="C16" s="367">
        <v>930000</v>
      </c>
      <c r="D16" s="367">
        <v>912069</v>
      </c>
      <c r="E16" s="378">
        <f t="shared" si="0"/>
        <v>98.071935483870959</v>
      </c>
      <c r="F16" s="447">
        <v>100545</v>
      </c>
      <c r="H16" s="282"/>
      <c r="I16" s="307">
        <f>I13+I14+I15</f>
        <v>94167000</v>
      </c>
      <c r="J16" s="307">
        <f>J13+J14+J15</f>
        <v>110726767.13</v>
      </c>
      <c r="K16" s="307">
        <f>K13+K14+K15</f>
        <v>106322120.98</v>
      </c>
    </row>
    <row r="17" spans="1:8" ht="24" x14ac:dyDescent="0.25">
      <c r="A17" s="461" t="s">
        <v>143</v>
      </c>
      <c r="B17" s="367">
        <v>0</v>
      </c>
      <c r="C17" s="367">
        <v>15000</v>
      </c>
      <c r="D17" s="367">
        <v>4500</v>
      </c>
      <c r="E17" s="378">
        <f t="shared" si="0"/>
        <v>30</v>
      </c>
      <c r="F17" s="447">
        <v>100546</v>
      </c>
      <c r="H17" s="22"/>
    </row>
    <row r="18" spans="1:8" ht="24" x14ac:dyDescent="0.2">
      <c r="A18" s="461" t="s">
        <v>132</v>
      </c>
      <c r="B18" s="367">
        <v>0</v>
      </c>
      <c r="C18" s="367">
        <v>15000</v>
      </c>
      <c r="D18" s="367">
        <v>4500</v>
      </c>
      <c r="E18" s="378">
        <f t="shared" si="0"/>
        <v>30</v>
      </c>
      <c r="F18" s="447">
        <v>100547</v>
      </c>
    </row>
    <row r="19" spans="1:8" ht="24" x14ac:dyDescent="0.2">
      <c r="A19" s="461" t="s">
        <v>144</v>
      </c>
      <c r="B19" s="367">
        <v>0</v>
      </c>
      <c r="C19" s="367">
        <v>50000</v>
      </c>
      <c r="D19" s="367">
        <v>8850</v>
      </c>
      <c r="E19" s="378">
        <f t="shared" si="0"/>
        <v>17.7</v>
      </c>
      <c r="F19" s="447">
        <v>100548</v>
      </c>
    </row>
    <row r="20" spans="1:8" ht="24" x14ac:dyDescent="0.2">
      <c r="A20" s="461" t="s">
        <v>146</v>
      </c>
      <c r="B20" s="367">
        <v>0</v>
      </c>
      <c r="C20" s="367">
        <v>35200</v>
      </c>
      <c r="D20" s="367">
        <v>3290</v>
      </c>
      <c r="E20" s="378">
        <f t="shared" si="0"/>
        <v>9.3465909090909083</v>
      </c>
      <c r="F20" s="447">
        <v>100553</v>
      </c>
    </row>
    <row r="21" spans="1:8" ht="24" x14ac:dyDescent="0.2">
      <c r="A21" s="461" t="s">
        <v>147</v>
      </c>
      <c r="B21" s="367">
        <v>0</v>
      </c>
      <c r="C21" s="367">
        <v>35200</v>
      </c>
      <c r="D21" s="367">
        <v>3290</v>
      </c>
      <c r="E21" s="378">
        <f t="shared" si="0"/>
        <v>9.3465909090909083</v>
      </c>
      <c r="F21" s="447">
        <v>100554</v>
      </c>
    </row>
    <row r="22" spans="1:8" x14ac:dyDescent="0.2">
      <c r="A22" s="461" t="s">
        <v>148</v>
      </c>
      <c r="B22" s="367">
        <v>0</v>
      </c>
      <c r="C22" s="367">
        <v>585840.5</v>
      </c>
      <c r="D22" s="367">
        <v>585840.5</v>
      </c>
      <c r="E22" s="378">
        <f t="shared" si="0"/>
        <v>100</v>
      </c>
      <c r="F22" s="447">
        <v>100559</v>
      </c>
    </row>
    <row r="23" spans="1:8" ht="24" x14ac:dyDescent="0.2">
      <c r="A23" s="461" t="s">
        <v>149</v>
      </c>
      <c r="B23" s="367">
        <v>0</v>
      </c>
      <c r="C23" s="367">
        <v>852649.07</v>
      </c>
      <c r="D23" s="367">
        <v>850919.07</v>
      </c>
      <c r="E23" s="378">
        <f t="shared" si="0"/>
        <v>99.797102927702724</v>
      </c>
      <c r="F23" s="447">
        <v>100561</v>
      </c>
    </row>
    <row r="24" spans="1:8" ht="24" x14ac:dyDescent="0.2">
      <c r="A24" s="461" t="s">
        <v>151</v>
      </c>
      <c r="B24" s="367">
        <v>0</v>
      </c>
      <c r="C24" s="367">
        <v>818372.3</v>
      </c>
      <c r="D24" s="367">
        <v>818372.3</v>
      </c>
      <c r="E24" s="378">
        <f t="shared" si="0"/>
        <v>100</v>
      </c>
      <c r="F24" s="447">
        <v>100563</v>
      </c>
    </row>
    <row r="25" spans="1:8" ht="24" x14ac:dyDescent="0.2">
      <c r="A25" s="461" t="s">
        <v>152</v>
      </c>
      <c r="B25" s="367">
        <v>0</v>
      </c>
      <c r="C25" s="367">
        <v>690000</v>
      </c>
      <c r="D25" s="367">
        <v>570198.6</v>
      </c>
      <c r="E25" s="378">
        <f t="shared" si="0"/>
        <v>82.637478260869557</v>
      </c>
      <c r="F25" s="447">
        <v>100694</v>
      </c>
    </row>
    <row r="26" spans="1:8" ht="24" x14ac:dyDescent="0.2">
      <c r="A26" s="461" t="s">
        <v>298</v>
      </c>
      <c r="B26" s="367">
        <v>0</v>
      </c>
      <c r="C26" s="367">
        <v>229764.07</v>
      </c>
      <c r="D26" s="367">
        <v>222056.07</v>
      </c>
      <c r="E26" s="378">
        <f t="shared" si="0"/>
        <v>96.645254412493657</v>
      </c>
      <c r="F26" s="447">
        <v>100821</v>
      </c>
    </row>
    <row r="27" spans="1:8" x14ac:dyDescent="0.2">
      <c r="A27" s="461" t="s">
        <v>299</v>
      </c>
      <c r="B27" s="367">
        <v>0</v>
      </c>
      <c r="C27" s="367">
        <v>54000</v>
      </c>
      <c r="D27" s="367">
        <v>0</v>
      </c>
      <c r="E27" s="378">
        <f t="shared" si="0"/>
        <v>0</v>
      </c>
      <c r="F27" s="447">
        <v>100822</v>
      </c>
    </row>
    <row r="28" spans="1:8" ht="24" x14ac:dyDescent="0.2">
      <c r="A28" s="461" t="s">
        <v>300</v>
      </c>
      <c r="B28" s="367">
        <v>0</v>
      </c>
      <c r="C28" s="367">
        <v>3299269.09</v>
      </c>
      <c r="D28" s="367">
        <v>24244</v>
      </c>
      <c r="E28" s="378">
        <f t="shared" si="0"/>
        <v>0.73482942247672201</v>
      </c>
      <c r="F28" s="453">
        <v>100575</v>
      </c>
    </row>
    <row r="29" spans="1:8" ht="13.5" thickBot="1" x14ac:dyDescent="0.25">
      <c r="A29" s="462" t="s">
        <v>154</v>
      </c>
      <c r="B29" s="368">
        <v>0</v>
      </c>
      <c r="C29" s="368">
        <v>931141.43</v>
      </c>
      <c r="D29" s="368">
        <v>929982</v>
      </c>
      <c r="E29" s="383">
        <f t="shared" si="0"/>
        <v>99.875482932812901</v>
      </c>
      <c r="F29" s="453">
        <v>100793</v>
      </c>
    </row>
    <row r="30" spans="1:8" s="22" customFormat="1" ht="15.75" thickTop="1" x14ac:dyDescent="0.25">
      <c r="A30" s="32"/>
      <c r="B30" s="203"/>
      <c r="C30" s="187"/>
      <c r="D30" s="204"/>
      <c r="E30" s="187"/>
      <c r="F30" s="33"/>
    </row>
    <row r="31" spans="1:8" s="34" customFormat="1" ht="18.75" thickBot="1" x14ac:dyDescent="0.3">
      <c r="A31" s="35" t="s">
        <v>27</v>
      </c>
      <c r="B31" s="311">
        <f>B7</f>
        <v>94167000</v>
      </c>
      <c r="C31" s="311">
        <f t="shared" ref="C31:D31" si="4">C7</f>
        <v>110726767.12999998</v>
      </c>
      <c r="D31" s="311">
        <f t="shared" si="4"/>
        <v>106322120.97999997</v>
      </c>
      <c r="E31" s="184">
        <f>D31/C31*100</f>
        <v>96.022058383743214</v>
      </c>
      <c r="F31" s="13"/>
    </row>
    <row r="32" spans="1:8" s="34" customFormat="1" ht="18.75" thickTop="1" x14ac:dyDescent="0.25">
      <c r="A32" s="36"/>
      <c r="B32" s="312"/>
      <c r="C32" s="312"/>
      <c r="D32" s="312"/>
      <c r="E32" s="188"/>
      <c r="F32" s="13"/>
    </row>
    <row r="33" spans="1:11" ht="18.75" customHeight="1" x14ac:dyDescent="0.25">
      <c r="A33" s="13" t="s">
        <v>29</v>
      </c>
    </row>
    <row r="34" spans="1:11" ht="15.75" thickBot="1" x14ac:dyDescent="0.3">
      <c r="A34" s="14" t="s">
        <v>292</v>
      </c>
      <c r="E34" s="21" t="s">
        <v>18</v>
      </c>
    </row>
    <row r="35" spans="1:11" s="22" customFormat="1" ht="16.5" thickTop="1" thickBot="1" x14ac:dyDescent="0.3">
      <c r="A35" s="242" t="s">
        <v>5</v>
      </c>
      <c r="B35" s="199" t="s">
        <v>0</v>
      </c>
      <c r="C35" s="200" t="s">
        <v>1</v>
      </c>
      <c r="D35" s="201" t="s">
        <v>4</v>
      </c>
      <c r="E35" s="185" t="s">
        <v>6</v>
      </c>
    </row>
    <row r="36" spans="1:11" s="22" customFormat="1" ht="15.75" thickTop="1" x14ac:dyDescent="0.25">
      <c r="A36" s="69" t="s">
        <v>9</v>
      </c>
      <c r="B36" s="451">
        <f>SUM(B37:B47)</f>
        <v>175175000</v>
      </c>
      <c r="C36" s="451">
        <f>SUM(C37:C47)</f>
        <v>193454135.09999999</v>
      </c>
      <c r="D36" s="451">
        <f>SUM(D37:D47)</f>
        <v>169025341.91000003</v>
      </c>
      <c r="E36" s="189">
        <f t="shared" ref="E36:E47" si="5">D36/C36*100</f>
        <v>87.372307561493955</v>
      </c>
      <c r="F36" s="24" t="s">
        <v>21</v>
      </c>
    </row>
    <row r="37" spans="1:11" x14ac:dyDescent="0.2">
      <c r="A37" s="387" t="s">
        <v>119</v>
      </c>
      <c r="B37" s="379">
        <v>105000000</v>
      </c>
      <c r="C37" s="379">
        <v>104832993.08</v>
      </c>
      <c r="D37" s="379">
        <v>104832993.08</v>
      </c>
      <c r="E37" s="380">
        <f t="shared" si="5"/>
        <v>100</v>
      </c>
      <c r="F37" s="276">
        <v>100328</v>
      </c>
      <c r="G37" s="275" t="s">
        <v>71</v>
      </c>
    </row>
    <row r="38" spans="1:11" x14ac:dyDescent="0.2">
      <c r="A38" s="387" t="s">
        <v>118</v>
      </c>
      <c r="B38" s="379">
        <v>70175000</v>
      </c>
      <c r="C38" s="379">
        <v>70342006.920000002</v>
      </c>
      <c r="D38" s="379">
        <v>51790242.700000003</v>
      </c>
      <c r="E38" s="380">
        <f t="shared" si="5"/>
        <v>73.626336477577439</v>
      </c>
      <c r="F38" s="276">
        <v>100540</v>
      </c>
      <c r="G38" s="275" t="s">
        <v>71</v>
      </c>
      <c r="H38" s="275" t="s">
        <v>71</v>
      </c>
      <c r="I38" s="308">
        <f>SUM(B37:B38)</f>
        <v>175175000</v>
      </c>
      <c r="J38" s="308">
        <f>SUM(C37:C38)</f>
        <v>175175000</v>
      </c>
      <c r="K38" s="308">
        <f>SUM(D37:D38)</f>
        <v>156623235.78</v>
      </c>
    </row>
    <row r="39" spans="1:11" ht="24" x14ac:dyDescent="0.2">
      <c r="A39" s="459" t="s">
        <v>169</v>
      </c>
      <c r="B39" s="377">
        <v>0</v>
      </c>
      <c r="C39" s="377">
        <v>2625000</v>
      </c>
      <c r="D39" s="377">
        <v>2288026.4</v>
      </c>
      <c r="E39" s="378">
        <f t="shared" si="5"/>
        <v>87.162910476190476</v>
      </c>
      <c r="F39" s="450">
        <v>100470</v>
      </c>
      <c r="G39" s="275"/>
      <c r="H39" s="448" t="s">
        <v>297</v>
      </c>
      <c r="I39" s="449">
        <f>SUM(B39:B43)</f>
        <v>0</v>
      </c>
      <c r="J39" s="449">
        <f>SUM(C39:C43)</f>
        <v>7797105.5899999999</v>
      </c>
      <c r="K39" s="449">
        <f>SUM(D39:D43)</f>
        <v>6486979.4900000002</v>
      </c>
    </row>
    <row r="40" spans="1:11" x14ac:dyDescent="0.2">
      <c r="A40" s="459" t="s">
        <v>170</v>
      </c>
      <c r="B40" s="377">
        <v>0</v>
      </c>
      <c r="C40" s="377">
        <v>487554.4</v>
      </c>
      <c r="D40" s="377">
        <v>487554.4</v>
      </c>
      <c r="E40" s="378">
        <f t="shared" si="5"/>
        <v>100</v>
      </c>
      <c r="F40" s="450">
        <v>100494</v>
      </c>
      <c r="G40" s="275"/>
      <c r="H40" s="454" t="s">
        <v>158</v>
      </c>
      <c r="I40" s="455">
        <f>SUM(B44:B47)</f>
        <v>0</v>
      </c>
      <c r="J40" s="455">
        <f>SUM(C44:C47)</f>
        <v>10482029.51</v>
      </c>
      <c r="K40" s="455">
        <f>SUM(D44:D47)</f>
        <v>5915126.6399999997</v>
      </c>
    </row>
    <row r="41" spans="1:11" ht="25.5" customHeight="1" x14ac:dyDescent="0.25">
      <c r="A41" s="459" t="s">
        <v>171</v>
      </c>
      <c r="B41" s="377">
        <v>0</v>
      </c>
      <c r="C41" s="377">
        <v>1741234</v>
      </c>
      <c r="D41" s="377">
        <v>845571.5</v>
      </c>
      <c r="E41" s="378">
        <f t="shared" si="5"/>
        <v>48.561623538249307</v>
      </c>
      <c r="F41" s="450">
        <v>100496</v>
      </c>
      <c r="G41" s="275"/>
      <c r="I41" s="307">
        <f>SUM(I38:I40)</f>
        <v>175175000</v>
      </c>
      <c r="J41" s="307">
        <f>SUM(J38:J40)</f>
        <v>193454135.09999999</v>
      </c>
      <c r="K41" s="307">
        <f>SUM(K38:K40)</f>
        <v>169025341.91</v>
      </c>
    </row>
    <row r="42" spans="1:11" ht="13.5" customHeight="1" x14ac:dyDescent="0.2">
      <c r="A42" s="459" t="s">
        <v>173</v>
      </c>
      <c r="B42" s="377">
        <v>0</v>
      </c>
      <c r="C42" s="377">
        <v>14266</v>
      </c>
      <c r="D42" s="377">
        <v>6776</v>
      </c>
      <c r="E42" s="378">
        <f t="shared" si="5"/>
        <v>47.497546614327774</v>
      </c>
      <c r="F42" s="450">
        <v>100497</v>
      </c>
      <c r="G42" s="275"/>
    </row>
    <row r="43" spans="1:11" ht="24" x14ac:dyDescent="0.2">
      <c r="A43" s="459" t="s">
        <v>174</v>
      </c>
      <c r="B43" s="377">
        <v>0</v>
      </c>
      <c r="C43" s="377">
        <v>2929051.19</v>
      </c>
      <c r="D43" s="377">
        <v>2859051.19</v>
      </c>
      <c r="E43" s="378">
        <f t="shared" si="5"/>
        <v>97.610147605511798</v>
      </c>
      <c r="F43" s="450">
        <v>100550</v>
      </c>
      <c r="G43" s="275"/>
    </row>
    <row r="44" spans="1:11" x14ac:dyDescent="0.2">
      <c r="A44" s="459" t="s">
        <v>210</v>
      </c>
      <c r="B44" s="377">
        <v>0</v>
      </c>
      <c r="C44" s="377">
        <v>146024</v>
      </c>
      <c r="D44" s="377">
        <v>74792.83</v>
      </c>
      <c r="E44" s="378">
        <f t="shared" si="5"/>
        <v>51.219546102010625</v>
      </c>
      <c r="F44" s="453">
        <v>100317</v>
      </c>
      <c r="G44" s="275"/>
    </row>
    <row r="45" spans="1:11" x14ac:dyDescent="0.2">
      <c r="A45" s="459" t="s">
        <v>226</v>
      </c>
      <c r="B45" s="377">
        <v>0</v>
      </c>
      <c r="C45" s="377">
        <v>6950684</v>
      </c>
      <c r="D45" s="377">
        <v>2458745.2999999998</v>
      </c>
      <c r="E45" s="378">
        <f t="shared" si="5"/>
        <v>35.374148788809848</v>
      </c>
      <c r="F45" s="453">
        <v>100441</v>
      </c>
      <c r="G45" s="275"/>
    </row>
    <row r="46" spans="1:11" x14ac:dyDescent="0.2">
      <c r="A46" s="459" t="s">
        <v>172</v>
      </c>
      <c r="B46" s="377">
        <v>0</v>
      </c>
      <c r="C46" s="377">
        <v>2956321.51</v>
      </c>
      <c r="D46" s="377">
        <v>2956321.51</v>
      </c>
      <c r="E46" s="378">
        <f t="shared" si="5"/>
        <v>100</v>
      </c>
      <c r="F46" s="453">
        <v>100518</v>
      </c>
      <c r="G46" s="275"/>
    </row>
    <row r="47" spans="1:11" ht="13.5" thickBot="1" x14ac:dyDescent="0.25">
      <c r="A47" s="463" t="s">
        <v>161</v>
      </c>
      <c r="B47" s="382">
        <v>0</v>
      </c>
      <c r="C47" s="382">
        <v>429000</v>
      </c>
      <c r="D47" s="382">
        <v>425267</v>
      </c>
      <c r="E47" s="383">
        <f t="shared" si="5"/>
        <v>99.129836829836819</v>
      </c>
      <c r="F47" s="453">
        <v>100814</v>
      </c>
      <c r="G47" s="275"/>
    </row>
    <row r="48" spans="1:11" s="22" customFormat="1" ht="15.75" thickTop="1" x14ac:dyDescent="0.25">
      <c r="A48" s="32"/>
      <c r="B48" s="203"/>
      <c r="C48" s="187"/>
      <c r="D48" s="204"/>
      <c r="E48" s="187"/>
      <c r="F48" s="33"/>
    </row>
    <row r="49" spans="1:11" s="34" customFormat="1" ht="18.75" thickBot="1" x14ac:dyDescent="0.3">
      <c r="A49" s="35" t="s">
        <v>28</v>
      </c>
      <c r="B49" s="311">
        <f>B36</f>
        <v>175175000</v>
      </c>
      <c r="C49" s="311">
        <f>C36</f>
        <v>193454135.09999999</v>
      </c>
      <c r="D49" s="311">
        <f>D36</f>
        <v>169025341.91000003</v>
      </c>
      <c r="E49" s="184">
        <f>D49/C49*100</f>
        <v>87.372307561493955</v>
      </c>
      <c r="F49" s="13"/>
    </row>
    <row r="50" spans="1:11" s="22" customFormat="1" ht="15.75" thickTop="1" x14ac:dyDescent="0.25">
      <c r="A50" s="32"/>
      <c r="B50" s="203"/>
      <c r="C50" s="187"/>
      <c r="D50" s="204"/>
      <c r="E50" s="187"/>
      <c r="F50" s="33"/>
    </row>
    <row r="51" spans="1:11" ht="15" customHeight="1" x14ac:dyDescent="0.25">
      <c r="A51" s="13" t="s">
        <v>48</v>
      </c>
    </row>
    <row r="52" spans="1:11" ht="15.75" thickBot="1" x14ac:dyDescent="0.3">
      <c r="A52" s="14" t="s">
        <v>25</v>
      </c>
      <c r="E52" s="21" t="s">
        <v>18</v>
      </c>
    </row>
    <row r="53" spans="1:11" s="22" customFormat="1" ht="16.5" thickTop="1" thickBot="1" x14ac:dyDescent="0.3">
      <c r="A53" s="242" t="s">
        <v>5</v>
      </c>
      <c r="B53" s="199" t="s">
        <v>0</v>
      </c>
      <c r="C53" s="200" t="s">
        <v>1</v>
      </c>
      <c r="D53" s="201" t="s">
        <v>4</v>
      </c>
      <c r="E53" s="185" t="s">
        <v>6</v>
      </c>
    </row>
    <row r="54" spans="1:11" ht="15.75" thickTop="1" x14ac:dyDescent="0.25">
      <c r="A54" s="243" t="s">
        <v>11</v>
      </c>
      <c r="B54" s="23">
        <f>SUM(B55:B58)</f>
        <v>54167000</v>
      </c>
      <c r="C54" s="23">
        <f>SUM(C55:C58)</f>
        <v>168587245.13999999</v>
      </c>
      <c r="D54" s="23">
        <f>SUM(D55:D58)</f>
        <v>168403806.91000003</v>
      </c>
      <c r="E54" s="189">
        <f t="shared" ref="E54" si="6">D54/C54*100</f>
        <v>99.891190920257571</v>
      </c>
      <c r="F54" s="18" t="s">
        <v>19</v>
      </c>
      <c r="H54" s="275" t="s">
        <v>71</v>
      </c>
      <c r="I54" s="308">
        <f>SUM(B55:B56)</f>
        <v>54167000</v>
      </c>
      <c r="J54" s="308">
        <f>SUM(C55:C56)</f>
        <v>0</v>
      </c>
      <c r="K54" s="308">
        <f>SUM(D55:D56)</f>
        <v>0</v>
      </c>
    </row>
    <row r="55" spans="1:11" x14ac:dyDescent="0.2">
      <c r="A55" s="381" t="s">
        <v>121</v>
      </c>
      <c r="B55" s="379">
        <v>29167000</v>
      </c>
      <c r="C55" s="379">
        <v>0</v>
      </c>
      <c r="D55" s="379">
        <v>0</v>
      </c>
      <c r="E55" s="380">
        <v>0</v>
      </c>
      <c r="F55" s="276">
        <v>100532</v>
      </c>
      <c r="H55" s="448" t="s">
        <v>207</v>
      </c>
      <c r="I55" s="449">
        <f>SUM(B57:B58)</f>
        <v>0</v>
      </c>
      <c r="J55" s="449">
        <f>SUM(C57:C58)</f>
        <v>168587245.13999999</v>
      </c>
      <c r="K55" s="449">
        <f>SUM(D57:D58)</f>
        <v>168403806.91000003</v>
      </c>
    </row>
    <row r="56" spans="1:11" x14ac:dyDescent="0.2">
      <c r="A56" s="381" t="s">
        <v>221</v>
      </c>
      <c r="B56" s="379">
        <v>25000000</v>
      </c>
      <c r="C56" s="379">
        <v>0</v>
      </c>
      <c r="D56" s="379">
        <v>0</v>
      </c>
      <c r="E56" s="380">
        <v>0</v>
      </c>
      <c r="F56" s="276">
        <v>100534</v>
      </c>
      <c r="H56" s="518" t="s">
        <v>126</v>
      </c>
      <c r="I56" s="519">
        <f>SUM(B63:B71)</f>
        <v>0</v>
      </c>
      <c r="J56" s="519">
        <f t="shared" ref="J56:K56" si="7">SUM(C63:C71)</f>
        <v>29254438.610000003</v>
      </c>
      <c r="K56" s="519">
        <f t="shared" si="7"/>
        <v>29254438.610000003</v>
      </c>
    </row>
    <row r="57" spans="1:11" ht="15" x14ac:dyDescent="0.25">
      <c r="A57" s="381" t="s">
        <v>123</v>
      </c>
      <c r="B57" s="379">
        <v>0</v>
      </c>
      <c r="C57" s="379">
        <v>149298300</v>
      </c>
      <c r="D57" s="379">
        <v>149114861.77000001</v>
      </c>
      <c r="E57" s="380">
        <f>D57/C57*100</f>
        <v>99.877133075192432</v>
      </c>
      <c r="F57" s="452">
        <v>100027</v>
      </c>
      <c r="I57" s="307">
        <f>SUM(I54:I56)</f>
        <v>54167000</v>
      </c>
      <c r="J57" s="307">
        <f t="shared" ref="J57:K57" si="8">SUM(J54:J56)</f>
        <v>197841683.75</v>
      </c>
      <c r="K57" s="307">
        <f t="shared" si="8"/>
        <v>197658245.52000004</v>
      </c>
    </row>
    <row r="58" spans="1:11" ht="13.5" thickBot="1" x14ac:dyDescent="0.25">
      <c r="A58" s="384" t="s">
        <v>121</v>
      </c>
      <c r="B58" s="385">
        <v>0</v>
      </c>
      <c r="C58" s="385">
        <v>19288945.140000001</v>
      </c>
      <c r="D58" s="385">
        <v>19288945.140000001</v>
      </c>
      <c r="E58" s="386">
        <f>D58/C58*100</f>
        <v>100</v>
      </c>
      <c r="F58" s="452">
        <v>100532</v>
      </c>
    </row>
    <row r="59" spans="1:11" s="34" customFormat="1" ht="13.5" customHeight="1" thickTop="1" x14ac:dyDescent="0.25">
      <c r="A59" s="36"/>
      <c r="B59" s="312"/>
      <c r="C59" s="312"/>
      <c r="D59" s="312"/>
      <c r="E59" s="188"/>
      <c r="F59" s="13"/>
    </row>
    <row r="60" spans="1:11" s="34" customFormat="1" ht="18.75" thickBot="1" x14ac:dyDescent="0.3">
      <c r="A60" s="14" t="s">
        <v>303</v>
      </c>
      <c r="B60" s="198"/>
      <c r="C60" s="21"/>
      <c r="D60" s="198"/>
      <c r="E60" s="21" t="s">
        <v>18</v>
      </c>
      <c r="F60" s="13"/>
    </row>
    <row r="61" spans="1:11" s="34" customFormat="1" ht="19.5" thickTop="1" thickBot="1" x14ac:dyDescent="0.3">
      <c r="A61" s="242" t="s">
        <v>5</v>
      </c>
      <c r="B61" s="199" t="s">
        <v>0</v>
      </c>
      <c r="C61" s="200" t="s">
        <v>1</v>
      </c>
      <c r="D61" s="201" t="s">
        <v>4</v>
      </c>
      <c r="E61" s="185" t="s">
        <v>6</v>
      </c>
      <c r="F61" s="13"/>
    </row>
    <row r="62" spans="1:11" s="34" customFormat="1" ht="18.75" thickTop="1" x14ac:dyDescent="0.25">
      <c r="A62" s="472" t="s">
        <v>304</v>
      </c>
      <c r="B62" s="202">
        <f>SUM(B63:B71)</f>
        <v>0</v>
      </c>
      <c r="C62" s="202">
        <f>SUM(C63:C71)</f>
        <v>29254438.610000003</v>
      </c>
      <c r="D62" s="202">
        <f>SUM(D63:D71)</f>
        <v>29254438.610000003</v>
      </c>
      <c r="E62" s="189">
        <f>D62/C62*100</f>
        <v>100</v>
      </c>
      <c r="F62" s="13"/>
    </row>
    <row r="63" spans="1:11" s="34" customFormat="1" ht="15" customHeight="1" x14ac:dyDescent="0.25">
      <c r="A63" s="503" t="s">
        <v>305</v>
      </c>
      <c r="B63" s="504">
        <v>0</v>
      </c>
      <c r="C63" s="504">
        <v>4652795.8099999996</v>
      </c>
      <c r="D63" s="504">
        <v>4652795.8099999996</v>
      </c>
      <c r="E63" s="380">
        <f t="shared" ref="E63:E71" si="9">D63/C63*100</f>
        <v>100</v>
      </c>
      <c r="F63" s="13"/>
    </row>
    <row r="64" spans="1:11" s="34" customFormat="1" ht="15" customHeight="1" x14ac:dyDescent="0.25">
      <c r="A64" s="503" t="s">
        <v>306</v>
      </c>
      <c r="B64" s="504">
        <v>0</v>
      </c>
      <c r="C64" s="504">
        <v>5619347.5</v>
      </c>
      <c r="D64" s="504">
        <v>5619347.5</v>
      </c>
      <c r="E64" s="380">
        <f t="shared" si="9"/>
        <v>100</v>
      </c>
      <c r="F64" s="13"/>
    </row>
    <row r="65" spans="1:11" s="34" customFormat="1" ht="15" customHeight="1" x14ac:dyDescent="0.25">
      <c r="A65" s="503" t="s">
        <v>307</v>
      </c>
      <c r="B65" s="504">
        <v>0</v>
      </c>
      <c r="C65" s="504">
        <v>12672907.4</v>
      </c>
      <c r="D65" s="504">
        <v>12672907.4</v>
      </c>
      <c r="E65" s="380">
        <f t="shared" si="9"/>
        <v>100</v>
      </c>
      <c r="F65" s="483"/>
    </row>
    <row r="66" spans="1:11" s="34" customFormat="1" ht="15" customHeight="1" x14ac:dyDescent="0.25">
      <c r="A66" s="505" t="s">
        <v>395</v>
      </c>
      <c r="B66" s="504">
        <v>0</v>
      </c>
      <c r="C66" s="504">
        <f>(9113532.4/1312194.2702)*(6309387.9/100)</f>
        <v>438203.49133252876</v>
      </c>
      <c r="D66" s="504">
        <f>(9113532.4/1312194.2702)*(6309387.9/100)</f>
        <v>438203.49133252876</v>
      </c>
      <c r="E66" s="380">
        <f t="shared" si="9"/>
        <v>100</v>
      </c>
      <c r="F66" s="13"/>
    </row>
    <row r="67" spans="1:11" s="34" customFormat="1" ht="15" customHeight="1" x14ac:dyDescent="0.25">
      <c r="A67" s="505" t="s">
        <v>396</v>
      </c>
      <c r="B67" s="504">
        <v>0</v>
      </c>
      <c r="C67" s="504">
        <f>(17993313.36/1312194.2702)*(6309387.9/100)</f>
        <v>865167.57596563047</v>
      </c>
      <c r="D67" s="504">
        <f>(17993313.36/1312194.2702)*(6309387.9/100)</f>
        <v>865167.57596563047</v>
      </c>
      <c r="E67" s="380">
        <f t="shared" si="9"/>
        <v>100</v>
      </c>
      <c r="F67" s="13"/>
    </row>
    <row r="68" spans="1:11" s="34" customFormat="1" ht="15" customHeight="1" x14ac:dyDescent="0.25">
      <c r="A68" s="505" t="s">
        <v>397</v>
      </c>
      <c r="B68" s="504">
        <v>0</v>
      </c>
      <c r="C68" s="504">
        <f>(17708398.75/1312194.2702)*(6309387.9/100)</f>
        <v>851468.10452537471</v>
      </c>
      <c r="D68" s="504">
        <f>(17708398.75/1312194.2702)*(6309387.9/100)</f>
        <v>851468.10452537471</v>
      </c>
      <c r="E68" s="380">
        <f t="shared" si="9"/>
        <v>100</v>
      </c>
      <c r="F68" s="13"/>
    </row>
    <row r="69" spans="1:11" s="34" customFormat="1" ht="15" customHeight="1" x14ac:dyDescent="0.25">
      <c r="A69" s="505" t="s">
        <v>398</v>
      </c>
      <c r="B69" s="504">
        <v>0</v>
      </c>
      <c r="C69" s="504">
        <f>(37756215.48/1312194.2702)*(6309387.9/100)</f>
        <v>1815421.8053626791</v>
      </c>
      <c r="D69" s="504">
        <f>(37756215.48/1312194.2702)*(6309387.9/100)</f>
        <v>1815421.8053626791</v>
      </c>
      <c r="E69" s="380">
        <f t="shared" si="9"/>
        <v>100</v>
      </c>
      <c r="F69" s="13"/>
    </row>
    <row r="70" spans="1:11" s="34" customFormat="1" ht="15" customHeight="1" x14ac:dyDescent="0.25">
      <c r="A70" s="505" t="s">
        <v>399</v>
      </c>
      <c r="B70" s="504">
        <v>0</v>
      </c>
      <c r="C70" s="504">
        <f>(19302313.15/1312194.2702)*(6309387.9/100)</f>
        <v>928107.85564593819</v>
      </c>
      <c r="D70" s="504">
        <f>(19302313.15/1312194.2702)*(6309387.9/100)</f>
        <v>928107.85564593819</v>
      </c>
      <c r="E70" s="380">
        <f t="shared" si="9"/>
        <v>100</v>
      </c>
      <c r="F70" s="13"/>
    </row>
    <row r="71" spans="1:11" s="34" customFormat="1" ht="15" customHeight="1" thickBot="1" x14ac:dyDescent="0.3">
      <c r="A71" s="506" t="s">
        <v>400</v>
      </c>
      <c r="B71" s="507">
        <v>0</v>
      </c>
      <c r="C71" s="507">
        <f>(29345653.88/1312194.2702)*(6309387.9/100)</f>
        <v>1411019.067167849</v>
      </c>
      <c r="D71" s="507">
        <f>(29345653.88/1312194.2702)*(6309387.9/100)</f>
        <v>1411019.067167849</v>
      </c>
      <c r="E71" s="386">
        <f t="shared" si="9"/>
        <v>100</v>
      </c>
      <c r="F71" s="13"/>
    </row>
    <row r="72" spans="1:11" s="34" customFormat="1" ht="18.75" thickTop="1" x14ac:dyDescent="0.25">
      <c r="A72" s="313"/>
      <c r="B72" s="285"/>
      <c r="C72" s="285"/>
      <c r="D72" s="285"/>
      <c r="E72" s="277"/>
      <c r="F72" s="13"/>
    </row>
    <row r="73" spans="1:11" s="34" customFormat="1" ht="18.75" thickBot="1" x14ac:dyDescent="0.3">
      <c r="A73" s="35" t="s">
        <v>32</v>
      </c>
      <c r="B73" s="311">
        <f>+B62+B54</f>
        <v>54167000</v>
      </c>
      <c r="C73" s="311">
        <f>+C62+C54</f>
        <v>197841683.75</v>
      </c>
      <c r="D73" s="311">
        <f>+D62+D54</f>
        <v>197658245.52000004</v>
      </c>
      <c r="E73" s="184">
        <f>D73/C73*100</f>
        <v>99.90728029274571</v>
      </c>
      <c r="F73" s="13"/>
    </row>
    <row r="74" spans="1:11" s="34" customFormat="1" ht="18.75" thickTop="1" x14ac:dyDescent="0.25">
      <c r="A74" s="36"/>
      <c r="B74" s="312"/>
      <c r="C74" s="312"/>
      <c r="D74" s="312"/>
      <c r="E74" s="188"/>
      <c r="F74" s="13"/>
    </row>
    <row r="75" spans="1:11" s="34" customFormat="1" ht="15.75" customHeight="1" x14ac:dyDescent="0.25">
      <c r="A75" s="36"/>
      <c r="B75" s="312"/>
      <c r="C75" s="312"/>
      <c r="D75" s="312"/>
      <c r="E75" s="188"/>
      <c r="F75" s="13"/>
    </row>
    <row r="76" spans="1:11" ht="18.75" customHeight="1" x14ac:dyDescent="0.25">
      <c r="A76" s="13" t="s">
        <v>301</v>
      </c>
    </row>
    <row r="77" spans="1:11" ht="15.75" thickBot="1" x14ac:dyDescent="0.3">
      <c r="A77" s="14" t="s">
        <v>292</v>
      </c>
      <c r="E77" s="21" t="s">
        <v>18</v>
      </c>
    </row>
    <row r="78" spans="1:11" s="22" customFormat="1" ht="16.5" thickTop="1" thickBot="1" x14ac:dyDescent="0.3">
      <c r="A78" s="242" t="s">
        <v>5</v>
      </c>
      <c r="B78" s="199" t="s">
        <v>0</v>
      </c>
      <c r="C78" s="200" t="s">
        <v>1</v>
      </c>
      <c r="D78" s="201" t="s">
        <v>4</v>
      </c>
      <c r="E78" s="185" t="s">
        <v>6</v>
      </c>
    </row>
    <row r="79" spans="1:11" s="22" customFormat="1" ht="15.75" thickTop="1" x14ac:dyDescent="0.25">
      <c r="A79" s="69" t="s">
        <v>10</v>
      </c>
      <c r="B79" s="451">
        <f>SUM(B80:B82)</f>
        <v>0</v>
      </c>
      <c r="C79" s="451">
        <f>SUM(C80:C82)</f>
        <v>69057896.719999999</v>
      </c>
      <c r="D79" s="451">
        <f>SUM(D80:D82)</f>
        <v>68885197.579999998</v>
      </c>
      <c r="E79" s="189">
        <f>D79/C79*100</f>
        <v>99.749921228125118</v>
      </c>
      <c r="F79" s="24" t="s">
        <v>20</v>
      </c>
    </row>
    <row r="80" spans="1:11" ht="24" x14ac:dyDescent="0.2">
      <c r="A80" s="459" t="s">
        <v>182</v>
      </c>
      <c r="B80" s="377">
        <v>0</v>
      </c>
      <c r="C80" s="377">
        <v>226495.72</v>
      </c>
      <c r="D80" s="377">
        <v>221245.72</v>
      </c>
      <c r="E80" s="378">
        <f>D80/C80*100</f>
        <v>97.682075405221781</v>
      </c>
      <c r="F80" s="452">
        <v>100664</v>
      </c>
      <c r="H80" s="448" t="s">
        <v>297</v>
      </c>
      <c r="I80" s="449">
        <f>SUM(B80:B81)</f>
        <v>0</v>
      </c>
      <c r="J80" s="449">
        <f>SUM(C80:C81)</f>
        <v>993133.72</v>
      </c>
      <c r="K80" s="449">
        <f>SUM(D80:D81)</f>
        <v>887883.72</v>
      </c>
    </row>
    <row r="81" spans="1:11" ht="24" x14ac:dyDescent="0.2">
      <c r="A81" s="459" t="s">
        <v>184</v>
      </c>
      <c r="B81" s="377">
        <v>0</v>
      </c>
      <c r="C81" s="377">
        <v>766638</v>
      </c>
      <c r="D81" s="377">
        <v>666638</v>
      </c>
      <c r="E81" s="378">
        <f>D81/C81*100</f>
        <v>86.95603400822813</v>
      </c>
      <c r="F81" s="452">
        <v>100666</v>
      </c>
      <c r="H81" s="486" t="s">
        <v>158</v>
      </c>
      <c r="I81" s="487">
        <f>SUM(B82)</f>
        <v>0</v>
      </c>
      <c r="J81" s="487">
        <f>SUM(C82)</f>
        <v>68064763</v>
      </c>
      <c r="K81" s="487">
        <f>SUM(D82)</f>
        <v>67997313.859999999</v>
      </c>
    </row>
    <row r="82" spans="1:11" ht="28.5" customHeight="1" thickBot="1" x14ac:dyDescent="0.3">
      <c r="A82" s="463" t="s">
        <v>185</v>
      </c>
      <c r="B82" s="382">
        <v>0</v>
      </c>
      <c r="C82" s="382">
        <v>68064763</v>
      </c>
      <c r="D82" s="382">
        <v>67997313.859999999</v>
      </c>
      <c r="E82" s="383">
        <f>D82/C82*100</f>
        <v>99.900904466529923</v>
      </c>
      <c r="F82" s="456">
        <v>100670</v>
      </c>
      <c r="I82" s="307">
        <f>SUM(I80:I81)</f>
        <v>0</v>
      </c>
      <c r="J82" s="307">
        <f t="shared" ref="J82" si="10">SUM(J80:J81)</f>
        <v>69057896.719999999</v>
      </c>
      <c r="K82" s="307">
        <f t="shared" ref="K82" si="11">SUM(K80:K81)</f>
        <v>68885197.579999998</v>
      </c>
    </row>
    <row r="83" spans="1:11" s="22" customFormat="1" ht="15.75" thickTop="1" x14ac:dyDescent="0.25">
      <c r="A83" s="468"/>
      <c r="B83" s="469"/>
      <c r="C83" s="470"/>
      <c r="D83" s="471"/>
      <c r="E83" s="470"/>
      <c r="F83" s="33"/>
    </row>
    <row r="84" spans="1:11" s="22" customFormat="1" ht="18.75" thickBot="1" x14ac:dyDescent="0.3">
      <c r="A84" s="35" t="s">
        <v>31</v>
      </c>
      <c r="B84" s="311">
        <f>B79</f>
        <v>0</v>
      </c>
      <c r="C84" s="311">
        <f>C79</f>
        <v>69057896.719999999</v>
      </c>
      <c r="D84" s="311">
        <f>D79</f>
        <v>68885197.579999998</v>
      </c>
      <c r="E84" s="184">
        <f>D84/C84*100</f>
        <v>99.749921228125118</v>
      </c>
      <c r="F84" s="33"/>
    </row>
    <row r="85" spans="1:11" s="22" customFormat="1" ht="15.75" thickTop="1" x14ac:dyDescent="0.25">
      <c r="A85" s="464"/>
      <c r="B85" s="465"/>
      <c r="C85" s="466"/>
      <c r="D85" s="467"/>
      <c r="E85" s="466"/>
      <c r="F85" s="33"/>
    </row>
    <row r="86" spans="1:11" ht="18.75" customHeight="1" x14ac:dyDescent="0.25">
      <c r="A86" s="13" t="s">
        <v>302</v>
      </c>
    </row>
    <row r="87" spans="1:11" ht="15.75" thickBot="1" x14ac:dyDescent="0.3">
      <c r="A87" s="14" t="s">
        <v>292</v>
      </c>
      <c r="E87" s="21" t="s">
        <v>18</v>
      </c>
    </row>
    <row r="88" spans="1:11" s="22" customFormat="1" ht="16.5" thickTop="1" thickBot="1" x14ac:dyDescent="0.3">
      <c r="A88" s="242" t="s">
        <v>5</v>
      </c>
      <c r="B88" s="199" t="s">
        <v>0</v>
      </c>
      <c r="C88" s="200" t="s">
        <v>1</v>
      </c>
      <c r="D88" s="201" t="s">
        <v>4</v>
      </c>
      <c r="E88" s="185" t="s">
        <v>6</v>
      </c>
    </row>
    <row r="89" spans="1:11" s="22" customFormat="1" ht="15.75" thickTop="1" x14ac:dyDescent="0.25">
      <c r="A89" s="244" t="s">
        <v>124</v>
      </c>
      <c r="B89" s="202">
        <f>SUM(B90:B90)</f>
        <v>0</v>
      </c>
      <c r="C89" s="202">
        <f>SUM(C90:C90)</f>
        <v>143068039.02000001</v>
      </c>
      <c r="D89" s="202">
        <f>SUM(D90:D90)</f>
        <v>143068039.02000001</v>
      </c>
      <c r="E89" s="186">
        <f>D89/C89*100</f>
        <v>100</v>
      </c>
      <c r="F89" s="314" t="s">
        <v>208</v>
      </c>
      <c r="H89" s="275"/>
      <c r="I89" s="308"/>
      <c r="J89" s="308"/>
      <c r="K89" s="308"/>
    </row>
    <row r="90" spans="1:11" ht="13.5" thickBot="1" x14ac:dyDescent="0.25">
      <c r="A90" s="384" t="s">
        <v>125</v>
      </c>
      <c r="B90" s="385">
        <v>0</v>
      </c>
      <c r="C90" s="385">
        <v>143068039.02000001</v>
      </c>
      <c r="D90" s="385">
        <v>143068039.02000001</v>
      </c>
      <c r="E90" s="386">
        <f>D90/C90*100</f>
        <v>100</v>
      </c>
      <c r="F90" s="488">
        <v>100558</v>
      </c>
      <c r="H90" s="454" t="s">
        <v>158</v>
      </c>
      <c r="I90" s="455">
        <f>SUM(B90)</f>
        <v>0</v>
      </c>
      <c r="J90" s="455">
        <f t="shared" ref="J90:K90" si="12">SUM(C90)</f>
        <v>143068039.02000001</v>
      </c>
      <c r="K90" s="455">
        <f t="shared" si="12"/>
        <v>143068039.02000001</v>
      </c>
    </row>
    <row r="91" spans="1:11" ht="15.75" thickTop="1" x14ac:dyDescent="0.25">
      <c r="A91" s="25"/>
      <c r="B91" s="207"/>
      <c r="C91" s="207"/>
      <c r="D91" s="207"/>
      <c r="E91" s="190"/>
      <c r="F91" s="27"/>
      <c r="H91" s="282"/>
      <c r="I91" s="307">
        <f>I90</f>
        <v>0</v>
      </c>
      <c r="J91" s="307">
        <f t="shared" ref="J91:K91" si="13">J90</f>
        <v>143068039.02000001</v>
      </c>
      <c r="K91" s="307">
        <f t="shared" si="13"/>
        <v>143068039.02000001</v>
      </c>
    </row>
    <row r="92" spans="1:11" s="34" customFormat="1" ht="18.75" thickBot="1" x14ac:dyDescent="0.3">
      <c r="A92" s="35" t="s">
        <v>128</v>
      </c>
      <c r="B92" s="205">
        <f>B89</f>
        <v>0</v>
      </c>
      <c r="C92" s="205">
        <f>C89</f>
        <v>143068039.02000001</v>
      </c>
      <c r="D92" s="205">
        <f>D89</f>
        <v>143068039.02000001</v>
      </c>
      <c r="E92" s="184">
        <f>D92/C92*100</f>
        <v>100</v>
      </c>
      <c r="F92" s="13"/>
      <c r="H92" s="18"/>
    </row>
    <row r="93" spans="1:11" s="34" customFormat="1" ht="18.75" thickTop="1" x14ac:dyDescent="0.25">
      <c r="A93" s="36"/>
      <c r="B93" s="206"/>
      <c r="C93" s="206"/>
      <c r="D93" s="206"/>
      <c r="E93" s="188"/>
      <c r="F93" s="13"/>
      <c r="H93" s="18"/>
    </row>
    <row r="94" spans="1:11" ht="15" x14ac:dyDescent="0.25">
      <c r="A94" s="25"/>
      <c r="B94" s="207"/>
      <c r="C94" s="207"/>
      <c r="D94" s="207"/>
      <c r="E94" s="190"/>
      <c r="F94" s="27"/>
    </row>
    <row r="95" spans="1:11" ht="14.25" x14ac:dyDescent="0.2">
      <c r="A95" s="15" t="s">
        <v>12</v>
      </c>
      <c r="B95" s="208"/>
      <c r="C95" s="208"/>
      <c r="D95" s="208"/>
      <c r="E95" s="191"/>
    </row>
    <row r="96" spans="1:11" ht="16.5" customHeight="1" x14ac:dyDescent="0.2">
      <c r="A96" s="16" t="s">
        <v>16</v>
      </c>
      <c r="B96" s="209">
        <f>SUM(B31)</f>
        <v>94167000</v>
      </c>
      <c r="C96" s="209">
        <f>SUM(C31)</f>
        <v>110726767.12999998</v>
      </c>
      <c r="D96" s="209">
        <f>SUM(D31)</f>
        <v>106322120.97999997</v>
      </c>
      <c r="E96" s="192">
        <f t="shared" ref="E96:E101" si="14">D96/C96*100</f>
        <v>96.022058383743214</v>
      </c>
    </row>
    <row r="97" spans="1:11" ht="14.25" x14ac:dyDescent="0.2">
      <c r="A97" s="16" t="s">
        <v>15</v>
      </c>
      <c r="B97" s="209">
        <f>SUM(B49)</f>
        <v>175175000</v>
      </c>
      <c r="C97" s="209">
        <f>SUM(C49)</f>
        <v>193454135.09999999</v>
      </c>
      <c r="D97" s="209">
        <f>SUM(D49)</f>
        <v>169025341.91000003</v>
      </c>
      <c r="E97" s="192">
        <f>D97/C97*100</f>
        <v>87.372307561493955</v>
      </c>
    </row>
    <row r="98" spans="1:11" ht="14.25" x14ac:dyDescent="0.2">
      <c r="A98" s="16" t="s">
        <v>13</v>
      </c>
      <c r="B98" s="209">
        <f>SUM(B73)</f>
        <v>54167000</v>
      </c>
      <c r="C98" s="209">
        <f t="shared" ref="C98:D98" si="15">SUM(C73)</f>
        <v>197841683.75</v>
      </c>
      <c r="D98" s="209">
        <f t="shared" si="15"/>
        <v>197658245.52000004</v>
      </c>
      <c r="E98" s="192">
        <f t="shared" ref="E98:E99" si="16">D98/C98*100</f>
        <v>99.90728029274571</v>
      </c>
    </row>
    <row r="99" spans="1:11" ht="14.25" x14ac:dyDescent="0.2">
      <c r="A99" s="16" t="s">
        <v>14</v>
      </c>
      <c r="B99" s="209">
        <f>SUM(B84)</f>
        <v>0</v>
      </c>
      <c r="C99" s="209">
        <f t="shared" ref="C99:D99" si="17">SUM(C84)</f>
        <v>69057896.719999999</v>
      </c>
      <c r="D99" s="209">
        <f t="shared" si="17"/>
        <v>68885197.579999998</v>
      </c>
      <c r="E99" s="192">
        <f t="shared" si="16"/>
        <v>99.749921228125118</v>
      </c>
    </row>
    <row r="100" spans="1:11" ht="14.25" x14ac:dyDescent="0.2">
      <c r="A100" s="16" t="s">
        <v>127</v>
      </c>
      <c r="B100" s="209">
        <f>B92</f>
        <v>0</v>
      </c>
      <c r="C100" s="209">
        <f>C92</f>
        <v>143068039.02000001</v>
      </c>
      <c r="D100" s="209">
        <f>D92</f>
        <v>143068039.02000001</v>
      </c>
      <c r="E100" s="192">
        <f t="shared" si="14"/>
        <v>100</v>
      </c>
    </row>
    <row r="101" spans="1:11" ht="15" customHeight="1" thickBot="1" x14ac:dyDescent="0.25">
      <c r="A101" s="17" t="s">
        <v>3</v>
      </c>
      <c r="B101" s="210">
        <f>SUM(B96:B100)</f>
        <v>323509000</v>
      </c>
      <c r="C101" s="210">
        <f>SUM(C96:C100)</f>
        <v>714148521.71999991</v>
      </c>
      <c r="D101" s="210">
        <f>SUM(D96:D100)</f>
        <v>684958945.00999999</v>
      </c>
      <c r="E101" s="193">
        <f t="shared" si="14"/>
        <v>95.912674209603082</v>
      </c>
      <c r="H101" s="275" t="s">
        <v>71</v>
      </c>
      <c r="I101" s="515">
        <f>I54+I38+I13</f>
        <v>323509000</v>
      </c>
      <c r="J101" s="515">
        <f t="shared" ref="J101:K101" si="18">J54+J38+J13</f>
        <v>273463700</v>
      </c>
      <c r="K101" s="515">
        <f t="shared" si="18"/>
        <v>254224787.59</v>
      </c>
    </row>
    <row r="102" spans="1:11" ht="14.25" customHeight="1" thickTop="1" x14ac:dyDescent="0.2">
      <c r="B102" s="211"/>
      <c r="C102" s="212"/>
      <c r="D102" s="213"/>
      <c r="H102" s="448" t="s">
        <v>207</v>
      </c>
      <c r="I102" s="515">
        <f>I55</f>
        <v>0</v>
      </c>
      <c r="J102" s="515">
        <f t="shared" ref="J102:K102" si="19">J55</f>
        <v>168587245.13999999</v>
      </c>
      <c r="K102" s="515">
        <f t="shared" si="19"/>
        <v>168403806.91000003</v>
      </c>
    </row>
    <row r="103" spans="1:11" s="180" customFormat="1" x14ac:dyDescent="0.2">
      <c r="A103" s="179"/>
      <c r="B103" s="214"/>
      <c r="C103" s="215"/>
      <c r="D103" s="216"/>
      <c r="E103" s="194"/>
      <c r="H103" s="448" t="s">
        <v>297</v>
      </c>
      <c r="I103" s="515">
        <f>I80+I39+I14</f>
        <v>0</v>
      </c>
      <c r="J103" s="515">
        <f t="shared" ref="J103:K103" si="20">J80+J39+J14</f>
        <v>16997895.920000002</v>
      </c>
      <c r="K103" s="515">
        <f t="shared" si="20"/>
        <v>15141206.379999999</v>
      </c>
    </row>
    <row r="104" spans="1:11" hidden="1" x14ac:dyDescent="0.2">
      <c r="B104" s="178" t="e">
        <f>SUM(B105:B111)</f>
        <v>#REF!</v>
      </c>
      <c r="C104" s="178" t="e">
        <f>SUM(C105:C111)</f>
        <v>#REF!</v>
      </c>
      <c r="D104" s="178" t="e">
        <f>SUM(D105:D111)</f>
        <v>#REF!</v>
      </c>
      <c r="H104" s="454" t="s">
        <v>158</v>
      </c>
      <c r="I104" s="515"/>
      <c r="J104" s="515"/>
      <c r="K104" s="515"/>
    </row>
    <row r="105" spans="1:11" hidden="1" x14ac:dyDescent="0.2">
      <c r="B105" s="177" t="e">
        <f>SUM(B8:B24)+SUM(B37:B38)+#REF!+SUM(B55:B56)+B80</f>
        <v>#REF!</v>
      </c>
      <c r="C105" s="177" t="e">
        <f>SUM(C8:C24)+SUM(C37:C38)+#REF!+SUM(C55:C56)+C80</f>
        <v>#REF!</v>
      </c>
      <c r="D105" s="177" t="e">
        <f>SUM(D8:D24)+SUM(D37:D38)+#REF!+SUM(D55:D56)+D80</f>
        <v>#REF!</v>
      </c>
      <c r="E105" s="195"/>
      <c r="I105" s="515"/>
      <c r="J105" s="515"/>
      <c r="K105" s="515"/>
    </row>
    <row r="106" spans="1:11" hidden="1" x14ac:dyDescent="0.2">
      <c r="B106" s="177" t="e">
        <f>#REF!</f>
        <v>#REF!</v>
      </c>
      <c r="C106" s="177" t="e">
        <f>#REF!</f>
        <v>#REF!</v>
      </c>
      <c r="D106" s="177" t="e">
        <f>#REF!</f>
        <v>#REF!</v>
      </c>
      <c r="I106" s="515"/>
      <c r="J106" s="515"/>
      <c r="K106" s="515"/>
    </row>
    <row r="107" spans="1:11" hidden="1" x14ac:dyDescent="0.2">
      <c r="B107" s="177" t="e">
        <f>#REF!</f>
        <v>#REF!</v>
      </c>
      <c r="C107" s="177" t="e">
        <f>#REF!</f>
        <v>#REF!</v>
      </c>
      <c r="D107" s="177" t="e">
        <f>#REF!</f>
        <v>#REF!</v>
      </c>
      <c r="I107" s="515"/>
      <c r="J107" s="515"/>
      <c r="K107" s="515"/>
    </row>
    <row r="108" spans="1:11" hidden="1" x14ac:dyDescent="0.2">
      <c r="B108" s="177" t="e">
        <f>#REF!</f>
        <v>#REF!</v>
      </c>
      <c r="C108" s="177" t="e">
        <f>#REF!</f>
        <v>#REF!</v>
      </c>
      <c r="D108" s="177" t="e">
        <f>#REF!</f>
        <v>#REF!</v>
      </c>
      <c r="I108" s="515"/>
      <c r="J108" s="515"/>
      <c r="K108" s="515"/>
    </row>
    <row r="109" spans="1:11" hidden="1" x14ac:dyDescent="0.2">
      <c r="B109" s="177" t="e">
        <f>#REF!</f>
        <v>#REF!</v>
      </c>
      <c r="C109" s="177" t="e">
        <f>#REF!</f>
        <v>#REF!</v>
      </c>
      <c r="D109" s="177" t="e">
        <f>#REF!</f>
        <v>#REF!</v>
      </c>
      <c r="I109" s="515"/>
      <c r="J109" s="515"/>
      <c r="K109" s="515"/>
    </row>
    <row r="110" spans="1:11" hidden="1" x14ac:dyDescent="0.2">
      <c r="B110" s="177" t="e">
        <f>SUM(#REF!)</f>
        <v>#REF!</v>
      </c>
      <c r="C110" s="177" t="e">
        <f>SUM(#REF!)</f>
        <v>#REF!</v>
      </c>
      <c r="D110" s="177" t="e">
        <f>SUM(#REF!)</f>
        <v>#REF!</v>
      </c>
      <c r="E110" s="196"/>
      <c r="I110" s="515"/>
      <c r="J110" s="515"/>
      <c r="K110" s="515"/>
    </row>
    <row r="111" spans="1:11" hidden="1" x14ac:dyDescent="0.2">
      <c r="B111" s="177" t="e">
        <f>#REF!+#REF!+B81+#REF!+#REF!+#REF!+#REF!+#REF!+#REF!+#REF!+#REF!+#REF!</f>
        <v>#REF!</v>
      </c>
      <c r="C111" s="177" t="e">
        <f>#REF!+#REF!+C81+#REF!+#REF!+#REF!+#REF!+#REF!+#REF!+#REF!+#REF!+#REF!</f>
        <v>#REF!</v>
      </c>
      <c r="D111" s="177" t="e">
        <f>#REF!+#REF!+D81+#REF!+#REF!+#REF!+#REF!+#REF!+#REF!+#REF!+#REF!+#REF!</f>
        <v>#REF!</v>
      </c>
      <c r="E111" s="197"/>
      <c r="I111" s="515"/>
      <c r="J111" s="515"/>
      <c r="K111" s="515"/>
    </row>
    <row r="112" spans="1:11" hidden="1" x14ac:dyDescent="0.2">
      <c r="I112" s="515"/>
      <c r="J112" s="515"/>
      <c r="K112" s="515"/>
    </row>
    <row r="113" spans="1:11" hidden="1" x14ac:dyDescent="0.2">
      <c r="A113" s="19">
        <v>2011</v>
      </c>
      <c r="I113" s="515"/>
      <c r="J113" s="515"/>
      <c r="K113" s="515"/>
    </row>
    <row r="114" spans="1:11" hidden="1" x14ac:dyDescent="0.2">
      <c r="I114" s="515"/>
      <c r="J114" s="515"/>
      <c r="K114" s="515"/>
    </row>
    <row r="115" spans="1:11" hidden="1" x14ac:dyDescent="0.2">
      <c r="I115" s="515"/>
      <c r="J115" s="515"/>
      <c r="K115" s="515"/>
    </row>
    <row r="116" spans="1:11" hidden="1" x14ac:dyDescent="0.2">
      <c r="I116" s="515"/>
      <c r="J116" s="515"/>
      <c r="K116" s="515"/>
    </row>
    <row r="117" spans="1:11" hidden="1" x14ac:dyDescent="0.2">
      <c r="I117" s="515"/>
      <c r="J117" s="515"/>
      <c r="K117" s="515"/>
    </row>
    <row r="118" spans="1:11" hidden="1" x14ac:dyDescent="0.2">
      <c r="I118" s="515"/>
      <c r="J118" s="515"/>
      <c r="K118" s="515"/>
    </row>
    <row r="119" spans="1:11" hidden="1" x14ac:dyDescent="0.2">
      <c r="I119" s="515"/>
      <c r="J119" s="515"/>
      <c r="K119" s="515"/>
    </row>
    <row r="120" spans="1:11" hidden="1" x14ac:dyDescent="0.2">
      <c r="I120" s="515"/>
      <c r="J120" s="515"/>
      <c r="K120" s="515"/>
    </row>
    <row r="121" spans="1:11" hidden="1" x14ac:dyDescent="0.2">
      <c r="I121" s="515"/>
      <c r="J121" s="515"/>
      <c r="K121" s="515"/>
    </row>
    <row r="122" spans="1:11" hidden="1" x14ac:dyDescent="0.2">
      <c r="I122" s="515"/>
      <c r="J122" s="515"/>
      <c r="K122" s="515"/>
    </row>
    <row r="123" spans="1:11" hidden="1" x14ac:dyDescent="0.2">
      <c r="A123" s="18"/>
      <c r="C123" s="18"/>
      <c r="D123" s="18"/>
      <c r="E123" s="18"/>
      <c r="I123" s="515"/>
      <c r="J123" s="515"/>
      <c r="K123" s="515"/>
    </row>
    <row r="124" spans="1:11" hidden="1" x14ac:dyDescent="0.2">
      <c r="A124" s="18"/>
      <c r="C124" s="18"/>
      <c r="D124" s="18"/>
      <c r="E124" s="18"/>
      <c r="I124" s="515"/>
      <c r="J124" s="515"/>
      <c r="K124" s="515"/>
    </row>
    <row r="125" spans="1:11" hidden="1" x14ac:dyDescent="0.2">
      <c r="A125" s="18"/>
      <c r="C125" s="18"/>
      <c r="D125" s="18"/>
      <c r="E125" s="18"/>
      <c r="I125" s="515"/>
      <c r="J125" s="515"/>
      <c r="K125" s="515"/>
    </row>
    <row r="126" spans="1:11" hidden="1" x14ac:dyDescent="0.2">
      <c r="A126" s="18"/>
      <c r="C126" s="18"/>
      <c r="D126" s="18"/>
      <c r="E126" s="18"/>
      <c r="I126" s="515"/>
      <c r="J126" s="515"/>
      <c r="K126" s="515"/>
    </row>
    <row r="127" spans="1:11" hidden="1" x14ac:dyDescent="0.2">
      <c r="A127" s="18"/>
      <c r="B127" s="217" t="s">
        <v>72</v>
      </c>
      <c r="C127" s="18"/>
      <c r="D127" s="18"/>
      <c r="E127" s="18"/>
      <c r="I127" s="515"/>
      <c r="J127" s="515"/>
      <c r="K127" s="515"/>
    </row>
    <row r="128" spans="1:11" hidden="1" x14ac:dyDescent="0.2">
      <c r="A128" s="18"/>
      <c r="B128" s="217" t="s">
        <v>73</v>
      </c>
      <c r="C128" s="18"/>
      <c r="D128" s="18"/>
      <c r="E128" s="18"/>
      <c r="I128" s="515"/>
      <c r="J128" s="515"/>
      <c r="K128" s="515"/>
    </row>
    <row r="129" spans="1:11" hidden="1" x14ac:dyDescent="0.2">
      <c r="A129" s="18"/>
      <c r="B129" s="218" t="s">
        <v>74</v>
      </c>
      <c r="C129" s="18"/>
      <c r="D129" s="18"/>
      <c r="E129" s="18"/>
      <c r="I129" s="515"/>
      <c r="J129" s="515"/>
      <c r="K129" s="515"/>
    </row>
    <row r="130" spans="1:11" hidden="1" x14ac:dyDescent="0.2">
      <c r="A130" s="18"/>
      <c r="B130" s="219" t="s">
        <v>75</v>
      </c>
      <c r="C130" s="18"/>
      <c r="D130" s="18"/>
      <c r="E130" s="18"/>
      <c r="I130" s="515"/>
      <c r="J130" s="515"/>
      <c r="K130" s="515"/>
    </row>
    <row r="131" spans="1:11" hidden="1" x14ac:dyDescent="0.2">
      <c r="A131" s="18"/>
      <c r="B131" s="217" t="s">
        <v>76</v>
      </c>
      <c r="C131" s="18"/>
      <c r="D131" s="18"/>
      <c r="E131" s="18"/>
      <c r="I131" s="515"/>
      <c r="J131" s="515"/>
      <c r="K131" s="515"/>
    </row>
    <row r="132" spans="1:11" hidden="1" x14ac:dyDescent="0.2">
      <c r="A132" s="18"/>
      <c r="C132" s="18"/>
      <c r="D132" s="18"/>
      <c r="E132" s="18"/>
      <c r="I132" s="515"/>
      <c r="J132" s="515"/>
      <c r="K132" s="515"/>
    </row>
    <row r="133" spans="1:11" hidden="1" x14ac:dyDescent="0.2">
      <c r="A133" s="18"/>
      <c r="B133" s="220" t="s">
        <v>77</v>
      </c>
      <c r="C133" s="18"/>
      <c r="D133" s="18"/>
      <c r="E133" s="18"/>
      <c r="I133" s="515"/>
      <c r="J133" s="515"/>
      <c r="K133" s="515"/>
    </row>
    <row r="134" spans="1:11" hidden="1" x14ac:dyDescent="0.2">
      <c r="A134" s="18"/>
      <c r="C134" s="18"/>
      <c r="D134" s="18"/>
      <c r="E134" s="18"/>
      <c r="I134" s="515"/>
      <c r="J134" s="515"/>
      <c r="K134" s="515"/>
    </row>
    <row r="135" spans="1:11" hidden="1" x14ac:dyDescent="0.2">
      <c r="A135" s="18"/>
      <c r="C135" s="18"/>
      <c r="D135" s="18"/>
      <c r="E135" s="18"/>
      <c r="I135" s="515"/>
      <c r="J135" s="515"/>
      <c r="K135" s="515"/>
    </row>
    <row r="136" spans="1:11" hidden="1" x14ac:dyDescent="0.2">
      <c r="A136" s="18"/>
      <c r="C136" s="18"/>
      <c r="D136" s="18"/>
      <c r="E136" s="18"/>
      <c r="I136" s="515"/>
      <c r="J136" s="515"/>
      <c r="K136" s="515"/>
    </row>
    <row r="137" spans="1:11" hidden="1" x14ac:dyDescent="0.2">
      <c r="A137" s="18"/>
      <c r="C137" s="18"/>
      <c r="D137" s="18"/>
      <c r="E137" s="18"/>
      <c r="I137" s="515"/>
      <c r="J137" s="515"/>
      <c r="K137" s="515"/>
    </row>
    <row r="138" spans="1:11" hidden="1" x14ac:dyDescent="0.2">
      <c r="I138" s="515"/>
      <c r="J138" s="515"/>
      <c r="K138" s="515"/>
    </row>
    <row r="139" spans="1:11" hidden="1" x14ac:dyDescent="0.2">
      <c r="A139" s="303"/>
      <c r="B139" s="304"/>
      <c r="C139" s="304"/>
      <c r="D139" s="304"/>
      <c r="I139" s="515"/>
      <c r="J139" s="515"/>
      <c r="K139" s="515"/>
    </row>
    <row r="140" spans="1:11" ht="13.5" hidden="1" thickBot="1" x14ac:dyDescent="0.25">
      <c r="A140" s="305"/>
      <c r="B140" s="306">
        <f>SUM(B141:B150)</f>
        <v>495408000</v>
      </c>
      <c r="C140" s="306">
        <f>SUM(C141:C150)</f>
        <v>945246434.67000008</v>
      </c>
      <c r="D140" s="306">
        <f t="shared" ref="D140" si="21">SUM(D141:D150)</f>
        <v>910219929.20000005</v>
      </c>
      <c r="I140" s="515"/>
      <c r="J140" s="515"/>
      <c r="K140" s="515"/>
    </row>
    <row r="141" spans="1:11" ht="13.5" hidden="1" thickTop="1" x14ac:dyDescent="0.2">
      <c r="A141" s="302" t="s">
        <v>205</v>
      </c>
      <c r="B141" s="177">
        <v>0</v>
      </c>
      <c r="C141" s="177">
        <v>9337862.9900000002</v>
      </c>
      <c r="D141" s="177">
        <v>9337862.9900000002</v>
      </c>
      <c r="H141" s="275" t="s">
        <v>71</v>
      </c>
      <c r="I141" s="515" t="e">
        <f>I89+#REF!+#REF!+#REF!+#REF!+I38+I13</f>
        <v>#REF!</v>
      </c>
      <c r="J141" s="515" t="e">
        <f>J89+#REF!+#REF!+#REF!+#REF!+J38+J13</f>
        <v>#REF!</v>
      </c>
      <c r="K141" s="515" t="e">
        <f>K89+#REF!+#REF!+#REF!+#REF!+K38+K13</f>
        <v>#REF!</v>
      </c>
    </row>
    <row r="142" spans="1:11" hidden="1" x14ac:dyDescent="0.2">
      <c r="A142" s="302" t="s">
        <v>206</v>
      </c>
      <c r="B142" s="177">
        <v>50666000</v>
      </c>
      <c r="C142" s="177">
        <v>50666000</v>
      </c>
      <c r="D142" s="177">
        <v>50666000</v>
      </c>
      <c r="H142" s="448" t="s">
        <v>207</v>
      </c>
      <c r="I142" s="515"/>
      <c r="J142" s="515"/>
      <c r="K142" s="515"/>
    </row>
    <row r="143" spans="1:11" hidden="1" x14ac:dyDescent="0.2">
      <c r="A143" s="302" t="s">
        <v>71</v>
      </c>
      <c r="B143" s="177">
        <v>444742000</v>
      </c>
      <c r="C143" s="177">
        <v>432300985.13</v>
      </c>
      <c r="D143" s="177">
        <v>427678553.86000001</v>
      </c>
      <c r="H143" s="448" t="s">
        <v>297</v>
      </c>
      <c r="I143" s="515"/>
      <c r="J143" s="515"/>
      <c r="K143" s="515"/>
    </row>
    <row r="144" spans="1:11" hidden="1" x14ac:dyDescent="0.2">
      <c r="A144" s="302" t="s">
        <v>207</v>
      </c>
      <c r="B144" s="177">
        <v>0</v>
      </c>
      <c r="C144" s="177">
        <v>369490957.85000002</v>
      </c>
      <c r="D144" s="177">
        <v>357842066.37</v>
      </c>
      <c r="H144" s="454" t="s">
        <v>158</v>
      </c>
      <c r="I144" s="515" t="e">
        <f>I90+#REF!+I80+#REF!+#REF!+I39+I14</f>
        <v>#REF!</v>
      </c>
      <c r="J144" s="515" t="e">
        <f>J90+#REF!+J80+#REF!+#REF!+J39+J14</f>
        <v>#REF!</v>
      </c>
      <c r="K144" s="515" t="e">
        <f>K90+#REF!+K80+#REF!+#REF!+K39+K14</f>
        <v>#REF!</v>
      </c>
    </row>
    <row r="145" spans="1:11" hidden="1" x14ac:dyDescent="0.2">
      <c r="A145" s="302" t="s">
        <v>158</v>
      </c>
      <c r="B145" s="177">
        <v>0</v>
      </c>
      <c r="C145" s="177">
        <f>19158375.27+4621671.56+49410772+5168950+5090859.87</f>
        <v>83450628.700000003</v>
      </c>
      <c r="D145" s="177">
        <v>64695445.979999997</v>
      </c>
      <c r="I145" s="515"/>
      <c r="J145" s="515"/>
      <c r="K145" s="515"/>
    </row>
    <row r="146" spans="1:11" hidden="1" x14ac:dyDescent="0.2">
      <c r="I146" s="515"/>
      <c r="J146" s="515"/>
      <c r="K146" s="515"/>
    </row>
    <row r="147" spans="1:11" hidden="1" x14ac:dyDescent="0.2">
      <c r="I147" s="515"/>
      <c r="J147" s="515"/>
      <c r="K147" s="515"/>
    </row>
    <row r="148" spans="1:11" ht="14.25" hidden="1" x14ac:dyDescent="0.2">
      <c r="I148" s="517" t="e">
        <f>SUM(I141:I143)</f>
        <v>#REF!</v>
      </c>
      <c r="J148" s="517" t="e">
        <f>SUM(J141:J143)</f>
        <v>#REF!</v>
      </c>
      <c r="K148" s="517" t="e">
        <f>SUM(K141:K143)</f>
        <v>#REF!</v>
      </c>
    </row>
    <row r="149" spans="1:11" hidden="1" x14ac:dyDescent="0.2">
      <c r="I149" s="515"/>
      <c r="J149" s="515"/>
      <c r="K149" s="515"/>
    </row>
    <row r="150" spans="1:11" hidden="1" x14ac:dyDescent="0.2">
      <c r="I150" s="515"/>
      <c r="J150" s="515"/>
      <c r="K150" s="515"/>
    </row>
    <row r="151" spans="1:11" hidden="1" x14ac:dyDescent="0.2">
      <c r="I151" s="515"/>
      <c r="J151" s="515"/>
      <c r="K151" s="515"/>
    </row>
    <row r="152" spans="1:11" hidden="1" x14ac:dyDescent="0.2">
      <c r="I152" s="515"/>
      <c r="J152" s="515"/>
      <c r="K152" s="515"/>
    </row>
    <row r="153" spans="1:11" x14ac:dyDescent="0.2">
      <c r="H153" s="454" t="s">
        <v>158</v>
      </c>
      <c r="I153" s="515">
        <f>I90+I81+I40+I15</f>
        <v>0</v>
      </c>
      <c r="J153" s="515">
        <f t="shared" ref="J153:K153" si="22">J90+J81+J40+J15</f>
        <v>225845242.05000001</v>
      </c>
      <c r="K153" s="515">
        <f t="shared" si="22"/>
        <v>217934705.51999998</v>
      </c>
    </row>
    <row r="154" spans="1:11" x14ac:dyDescent="0.2">
      <c r="H154" s="518" t="s">
        <v>126</v>
      </c>
      <c r="I154" s="515">
        <f>I56</f>
        <v>0</v>
      </c>
      <c r="J154" s="515">
        <f t="shared" ref="J154:K154" si="23">J56</f>
        <v>29254438.610000003</v>
      </c>
      <c r="K154" s="515">
        <f t="shared" si="23"/>
        <v>29254438.610000003</v>
      </c>
    </row>
    <row r="155" spans="1:11" x14ac:dyDescent="0.2">
      <c r="I155" s="516">
        <f>I101+I102+I103+I153+I154</f>
        <v>323509000</v>
      </c>
      <c r="J155" s="516">
        <f t="shared" ref="J155:K155" si="24">J101+J102+J103+J153+J154</f>
        <v>714148521.72000003</v>
      </c>
      <c r="K155" s="516">
        <f t="shared" si="24"/>
        <v>684958945.00999999</v>
      </c>
    </row>
  </sheetData>
  <phoneticPr fontId="5" type="noConversion"/>
  <pageMargins left="0.78740157480314965" right="0.78740157480314965" top="0.98425196850393704" bottom="0.98425196850393704" header="0.51181102362204722" footer="0.51181102362204722"/>
  <pageSetup paperSize="9" scale="73" firstPageNumber="187" orientation="portrait" useFirstPageNumber="1" r:id="rId1"/>
  <headerFooter alignWithMargins="0">
    <oddFooter>&amp;L&amp;"Arial,Kurzíva"Zastupitelstvo Olomouckého kraje 20.6.2014
5.2. - Závěrečný účet Olomouckého kraje za rok 2013
Příloha č. 8: Přehled financování investičních akcí v roce 2013&amp;R&amp;"Arial,Kurzíva"Strana &amp;P (celkem 480)</oddFooter>
  </headerFooter>
  <rowBreaks count="1" manualBreakCount="1">
    <brk id="5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93"/>
  <sheetViews>
    <sheetView showGridLines="0" view="pageBreakPreview" topLeftCell="A142" zoomScaleNormal="100" zoomScaleSheetLayoutView="100" workbookViewId="0">
      <selection activeCell="B46" sqref="B46"/>
    </sheetView>
  </sheetViews>
  <sheetFormatPr defaultRowHeight="12.75" x14ac:dyDescent="0.2"/>
  <cols>
    <col min="1" max="1" width="76.28515625" style="1" customWidth="1"/>
    <col min="2" max="2" width="16" style="234" customWidth="1"/>
    <col min="3" max="3" width="17.28515625" style="235" customWidth="1"/>
    <col min="4" max="4" width="17.5703125" style="236" customWidth="1"/>
    <col min="5" max="5" width="8.5703125" style="236" customWidth="1"/>
    <col min="6" max="6" width="13.28515625" style="4" customWidth="1"/>
    <col min="7" max="9" width="11.7109375" style="1" bestFit="1" customWidth="1"/>
    <col min="10" max="16384" width="9.140625" style="1"/>
  </cols>
  <sheetData>
    <row r="1" spans="1:6" ht="25.5" customHeight="1" x14ac:dyDescent="0.25">
      <c r="A1" s="13" t="s">
        <v>234</v>
      </c>
      <c r="B1" s="221"/>
      <c r="C1" s="221"/>
      <c r="D1" s="222"/>
      <c r="E1" s="222"/>
      <c r="F1" s="5"/>
    </row>
    <row r="2" spans="1:6" s="2" customFormat="1" ht="15.75" x14ac:dyDescent="0.25">
      <c r="A2" s="14" t="s">
        <v>45</v>
      </c>
      <c r="B2" s="223"/>
      <c r="C2" s="223"/>
      <c r="D2" s="222"/>
      <c r="E2" s="222"/>
    </row>
    <row r="3" spans="1:6" s="2" customFormat="1" ht="15.75" x14ac:dyDescent="0.25">
      <c r="A3" s="14"/>
      <c r="B3" s="223"/>
      <c r="C3" s="223"/>
      <c r="D3" s="222"/>
      <c r="E3" s="222"/>
    </row>
    <row r="4" spans="1:6" s="18" customFormat="1" ht="18.75" customHeight="1" x14ac:dyDescent="0.25">
      <c r="A4" s="13" t="s">
        <v>24</v>
      </c>
      <c r="B4" s="21"/>
      <c r="C4" s="21"/>
      <c r="D4" s="21"/>
      <c r="E4" s="198"/>
    </row>
    <row r="5" spans="1:6" s="18" customFormat="1" ht="15.75" thickBot="1" x14ac:dyDescent="0.3">
      <c r="A5" s="14" t="s">
        <v>25</v>
      </c>
      <c r="B5" s="224"/>
      <c r="C5" s="224"/>
      <c r="D5" s="224"/>
      <c r="E5" s="198" t="s">
        <v>18</v>
      </c>
    </row>
    <row r="6" spans="1:6" ht="14.25" thickTop="1" thickBot="1" x14ac:dyDescent="0.25">
      <c r="A6" s="12" t="s">
        <v>5</v>
      </c>
      <c r="B6" s="199" t="s">
        <v>0</v>
      </c>
      <c r="C6" s="200" t="s">
        <v>1</v>
      </c>
      <c r="D6" s="201" t="s">
        <v>4</v>
      </c>
      <c r="E6" s="185" t="s">
        <v>6</v>
      </c>
      <c r="F6" s="1"/>
    </row>
    <row r="7" spans="1:6" ht="16.5" thickTop="1" thickBot="1" x14ac:dyDescent="0.3">
      <c r="A7" s="69" t="s">
        <v>7</v>
      </c>
      <c r="B7" s="247">
        <f>SUM(B8:B24)</f>
        <v>15782000</v>
      </c>
      <c r="C7" s="247">
        <f>SUM(C8:C24)</f>
        <v>22290186.079999998</v>
      </c>
      <c r="D7" s="247">
        <f>SUM(D8:D24)</f>
        <v>22233246.359999999</v>
      </c>
      <c r="E7" s="248">
        <f t="shared" ref="E7:E24" si="0">D7/C7*100</f>
        <v>99.744552513847836</v>
      </c>
      <c r="F7" s="401"/>
    </row>
    <row r="8" spans="1:6" ht="25.5" x14ac:dyDescent="0.2">
      <c r="A8" s="94" t="s">
        <v>233</v>
      </c>
      <c r="B8" s="367">
        <v>2591000</v>
      </c>
      <c r="C8" s="374">
        <v>2214252.9</v>
      </c>
      <c r="D8" s="367">
        <v>2214252.9</v>
      </c>
      <c r="E8" s="361">
        <f t="shared" si="0"/>
        <v>100</v>
      </c>
      <c r="F8" s="424">
        <v>60001100583</v>
      </c>
    </row>
    <row r="9" spans="1:6" ht="27.75" customHeight="1" x14ac:dyDescent="0.2">
      <c r="A9" s="94" t="s">
        <v>78</v>
      </c>
      <c r="B9" s="367">
        <v>53000</v>
      </c>
      <c r="C9" s="374">
        <v>52223.6</v>
      </c>
      <c r="D9" s="367">
        <v>52223.6</v>
      </c>
      <c r="E9" s="361">
        <f t="shared" si="0"/>
        <v>100</v>
      </c>
      <c r="F9" s="425">
        <v>60001100701</v>
      </c>
    </row>
    <row r="10" spans="1:6" ht="27.75" customHeight="1" x14ac:dyDescent="0.2">
      <c r="A10" s="457" t="s">
        <v>79</v>
      </c>
      <c r="B10" s="367">
        <v>0</v>
      </c>
      <c r="C10" s="374">
        <v>111544</v>
      </c>
      <c r="D10" s="367">
        <v>111544</v>
      </c>
      <c r="E10" s="361">
        <f t="shared" si="0"/>
        <v>100</v>
      </c>
      <c r="F10" s="426">
        <v>60001100702</v>
      </c>
    </row>
    <row r="11" spans="1:6" ht="17.25" customHeight="1" x14ac:dyDescent="0.2">
      <c r="A11" s="457" t="s">
        <v>80</v>
      </c>
      <c r="B11" s="367">
        <v>0</v>
      </c>
      <c r="C11" s="374">
        <v>112320</v>
      </c>
      <c r="D11" s="367">
        <v>112320</v>
      </c>
      <c r="E11" s="361">
        <f t="shared" si="0"/>
        <v>100</v>
      </c>
      <c r="F11" s="426">
        <v>60001100704</v>
      </c>
    </row>
    <row r="12" spans="1:6" ht="27.75" customHeight="1" x14ac:dyDescent="0.2">
      <c r="A12" s="457" t="s">
        <v>81</v>
      </c>
      <c r="B12" s="367">
        <v>101000</v>
      </c>
      <c r="C12" s="374">
        <v>138000</v>
      </c>
      <c r="D12" s="367">
        <v>111255</v>
      </c>
      <c r="E12" s="361">
        <f t="shared" si="0"/>
        <v>80.619565217391312</v>
      </c>
      <c r="F12" s="426">
        <v>60001100706</v>
      </c>
    </row>
    <row r="13" spans="1:6" ht="27.75" customHeight="1" x14ac:dyDescent="0.2">
      <c r="A13" s="457" t="s">
        <v>82</v>
      </c>
      <c r="B13" s="367">
        <v>1433000</v>
      </c>
      <c r="C13" s="374">
        <v>927938.57</v>
      </c>
      <c r="D13" s="367">
        <v>927938.57</v>
      </c>
      <c r="E13" s="361">
        <f t="shared" si="0"/>
        <v>100</v>
      </c>
      <c r="F13" s="416">
        <v>60001100712</v>
      </c>
    </row>
    <row r="14" spans="1:6" ht="15" customHeight="1" x14ac:dyDescent="0.2">
      <c r="A14" s="457" t="s">
        <v>83</v>
      </c>
      <c r="B14" s="367">
        <v>283000</v>
      </c>
      <c r="C14" s="374">
        <v>279761</v>
      </c>
      <c r="D14" s="367">
        <v>279761</v>
      </c>
      <c r="E14" s="361">
        <f t="shared" si="0"/>
        <v>100</v>
      </c>
      <c r="F14" s="416">
        <v>60001100715</v>
      </c>
    </row>
    <row r="15" spans="1:6" ht="27.75" customHeight="1" x14ac:dyDescent="0.2">
      <c r="A15" s="457" t="s">
        <v>84</v>
      </c>
      <c r="B15" s="367">
        <v>4500000</v>
      </c>
      <c r="C15" s="374">
        <v>5756114.3099999996</v>
      </c>
      <c r="D15" s="367">
        <v>5755721.79</v>
      </c>
      <c r="E15" s="361">
        <f t="shared" si="0"/>
        <v>99.993180816452551</v>
      </c>
      <c r="F15" s="416">
        <v>60001100725</v>
      </c>
    </row>
    <row r="16" spans="1:6" ht="27.75" customHeight="1" x14ac:dyDescent="0.2">
      <c r="A16" s="457" t="s">
        <v>85</v>
      </c>
      <c r="B16" s="367">
        <v>573000</v>
      </c>
      <c r="C16" s="374">
        <v>567293.35</v>
      </c>
      <c r="D16" s="367">
        <v>567293.35</v>
      </c>
      <c r="E16" s="361">
        <f t="shared" si="0"/>
        <v>100</v>
      </c>
      <c r="F16" s="416">
        <v>60001100727</v>
      </c>
    </row>
    <row r="17" spans="1:6" ht="15.75" customHeight="1" x14ac:dyDescent="0.2">
      <c r="A17" s="457" t="s">
        <v>86</v>
      </c>
      <c r="B17" s="367">
        <v>5271000</v>
      </c>
      <c r="C17" s="374">
        <v>5089856</v>
      </c>
      <c r="D17" s="367">
        <v>5089856</v>
      </c>
      <c r="E17" s="361">
        <f t="shared" si="0"/>
        <v>100</v>
      </c>
      <c r="F17" s="416">
        <v>60001100740</v>
      </c>
    </row>
    <row r="18" spans="1:6" ht="15.75" customHeight="1" x14ac:dyDescent="0.2">
      <c r="A18" s="457" t="s">
        <v>189</v>
      </c>
      <c r="B18" s="367">
        <v>977000</v>
      </c>
      <c r="C18" s="374">
        <v>1083450.3500000001</v>
      </c>
      <c r="D18" s="367">
        <v>1083450.3500000001</v>
      </c>
      <c r="E18" s="361">
        <f t="shared" si="0"/>
        <v>100</v>
      </c>
      <c r="F18" s="416">
        <v>60001100741</v>
      </c>
    </row>
    <row r="19" spans="1:6" ht="27" customHeight="1" x14ac:dyDescent="0.2">
      <c r="A19" s="457" t="s">
        <v>87</v>
      </c>
      <c r="B19" s="367">
        <v>0</v>
      </c>
      <c r="C19" s="374">
        <v>119122</v>
      </c>
      <c r="D19" s="367">
        <v>119122</v>
      </c>
      <c r="E19" s="361">
        <f t="shared" si="0"/>
        <v>100</v>
      </c>
      <c r="F19" s="416">
        <v>60001100750</v>
      </c>
    </row>
    <row r="20" spans="1:6" ht="27" customHeight="1" x14ac:dyDescent="0.2">
      <c r="A20" s="457" t="s">
        <v>235</v>
      </c>
      <c r="B20" s="367">
        <v>0</v>
      </c>
      <c r="C20" s="374">
        <v>768350</v>
      </c>
      <c r="D20" s="367">
        <v>768350</v>
      </c>
      <c r="E20" s="361">
        <f t="shared" si="0"/>
        <v>100</v>
      </c>
      <c r="F20" s="416">
        <v>60001100838</v>
      </c>
    </row>
    <row r="21" spans="1:6" ht="27" customHeight="1" x14ac:dyDescent="0.2">
      <c r="A21" s="457" t="s">
        <v>236</v>
      </c>
      <c r="B21" s="367">
        <v>0</v>
      </c>
      <c r="C21" s="374">
        <v>1541000</v>
      </c>
      <c r="D21" s="367">
        <v>1531393</v>
      </c>
      <c r="E21" s="361">
        <f t="shared" si="0"/>
        <v>99.376573653471766</v>
      </c>
      <c r="F21" s="416">
        <v>60001100839</v>
      </c>
    </row>
    <row r="22" spans="1:6" ht="27" customHeight="1" x14ac:dyDescent="0.2">
      <c r="A22" s="457" t="s">
        <v>237</v>
      </c>
      <c r="B22" s="367">
        <v>0</v>
      </c>
      <c r="C22" s="374">
        <v>617100</v>
      </c>
      <c r="D22" s="367">
        <v>617100</v>
      </c>
      <c r="E22" s="361">
        <f t="shared" si="0"/>
        <v>100</v>
      </c>
      <c r="F22" s="416">
        <v>60001100840</v>
      </c>
    </row>
    <row r="23" spans="1:6" ht="27" customHeight="1" x14ac:dyDescent="0.2">
      <c r="A23" s="457" t="s">
        <v>238</v>
      </c>
      <c r="B23" s="367">
        <v>0</v>
      </c>
      <c r="C23" s="374">
        <v>1312860</v>
      </c>
      <c r="D23" s="367">
        <v>1293495.8</v>
      </c>
      <c r="E23" s="361">
        <f t="shared" si="0"/>
        <v>98.525036942248221</v>
      </c>
      <c r="F23" s="416">
        <v>60001100842</v>
      </c>
    </row>
    <row r="24" spans="1:6" ht="39.75" customHeight="1" thickBot="1" x14ac:dyDescent="0.25">
      <c r="A24" s="458" t="s">
        <v>239</v>
      </c>
      <c r="B24" s="367">
        <v>0</v>
      </c>
      <c r="C24" s="374">
        <v>1599000</v>
      </c>
      <c r="D24" s="367">
        <v>1598169</v>
      </c>
      <c r="E24" s="361">
        <f t="shared" si="0"/>
        <v>99.948030018761727</v>
      </c>
      <c r="F24" s="417">
        <v>60001100843</v>
      </c>
    </row>
    <row r="25" spans="1:6" ht="16.5" thickTop="1" x14ac:dyDescent="0.25">
      <c r="A25" s="249"/>
      <c r="B25" s="250"/>
      <c r="C25" s="250"/>
      <c r="D25" s="250"/>
      <c r="E25" s="251"/>
      <c r="F25" s="7"/>
    </row>
    <row r="26" spans="1:6" ht="15.75" x14ac:dyDescent="0.25">
      <c r="A26" s="399"/>
      <c r="B26" s="223"/>
      <c r="C26" s="223"/>
      <c r="D26" s="223"/>
      <c r="E26" s="400"/>
      <c r="F26" s="7"/>
    </row>
    <row r="27" spans="1:6" s="18" customFormat="1" ht="15.75" thickBot="1" x14ac:dyDescent="0.3">
      <c r="A27" s="14" t="s">
        <v>26</v>
      </c>
      <c r="B27" s="224"/>
      <c r="C27" s="224"/>
      <c r="D27" s="224"/>
      <c r="E27" s="198" t="s">
        <v>18</v>
      </c>
    </row>
    <row r="28" spans="1:6" ht="14.25" thickTop="1" thickBot="1" x14ac:dyDescent="0.25">
      <c r="A28" s="12" t="s">
        <v>5</v>
      </c>
      <c r="B28" s="199" t="s">
        <v>0</v>
      </c>
      <c r="C28" s="200" t="s">
        <v>1</v>
      </c>
      <c r="D28" s="201" t="s">
        <v>4</v>
      </c>
      <c r="E28" s="185" t="s">
        <v>6</v>
      </c>
      <c r="F28" s="1"/>
    </row>
    <row r="29" spans="1:6" ht="16.5" thickTop="1" thickBot="1" x14ac:dyDescent="0.3">
      <c r="A29" s="69" t="s">
        <v>7</v>
      </c>
      <c r="B29" s="247">
        <f>SUM(B30:B42)</f>
        <v>0</v>
      </c>
      <c r="C29" s="247">
        <f>SUM(C30:C42)</f>
        <v>8152337.7300000004</v>
      </c>
      <c r="D29" s="247">
        <f>SUM(D30:D42)</f>
        <v>8152337.7300000004</v>
      </c>
      <c r="E29" s="248">
        <f t="shared" ref="E29:E42" si="1">D29/C29*100</f>
        <v>100</v>
      </c>
      <c r="F29" s="401"/>
    </row>
    <row r="30" spans="1:6" s="3" customFormat="1" ht="25.5" x14ac:dyDescent="0.2">
      <c r="A30" s="457" t="s">
        <v>240</v>
      </c>
      <c r="B30" s="360">
        <v>0</v>
      </c>
      <c r="C30" s="253">
        <v>555000</v>
      </c>
      <c r="D30" s="355">
        <v>555000</v>
      </c>
      <c r="E30" s="361">
        <f t="shared" si="1"/>
        <v>100</v>
      </c>
      <c r="F30" s="423">
        <v>1043</v>
      </c>
    </row>
    <row r="31" spans="1:6" s="3" customFormat="1" ht="25.5" x14ac:dyDescent="0.2">
      <c r="A31" s="457" t="s">
        <v>241</v>
      </c>
      <c r="B31" s="360">
        <v>0</v>
      </c>
      <c r="C31" s="253">
        <v>680000</v>
      </c>
      <c r="D31" s="355">
        <v>680000</v>
      </c>
      <c r="E31" s="361">
        <f t="shared" si="1"/>
        <v>100</v>
      </c>
      <c r="F31" s="416">
        <v>1106</v>
      </c>
    </row>
    <row r="32" spans="1:6" s="3" customFormat="1" ht="25.5" x14ac:dyDescent="0.2">
      <c r="A32" s="457" t="s">
        <v>242</v>
      </c>
      <c r="B32" s="360">
        <v>0</v>
      </c>
      <c r="C32" s="253">
        <v>650000</v>
      </c>
      <c r="D32" s="355">
        <v>650000</v>
      </c>
      <c r="E32" s="361">
        <f t="shared" si="1"/>
        <v>100</v>
      </c>
      <c r="F32" s="416">
        <v>1113</v>
      </c>
    </row>
    <row r="33" spans="1:6" s="3" customFormat="1" ht="25.5" x14ac:dyDescent="0.2">
      <c r="A33" s="457" t="s">
        <v>243</v>
      </c>
      <c r="B33" s="360">
        <v>0</v>
      </c>
      <c r="C33" s="253">
        <v>650000</v>
      </c>
      <c r="D33" s="355">
        <v>650000</v>
      </c>
      <c r="E33" s="361">
        <f t="shared" si="1"/>
        <v>100</v>
      </c>
      <c r="F33" s="416">
        <v>1128</v>
      </c>
    </row>
    <row r="34" spans="1:6" s="3" customFormat="1" ht="25.5" x14ac:dyDescent="0.2">
      <c r="A34" s="457" t="s">
        <v>244</v>
      </c>
      <c r="B34" s="360">
        <v>0</v>
      </c>
      <c r="C34" s="253">
        <v>1050000</v>
      </c>
      <c r="D34" s="355">
        <v>1050000</v>
      </c>
      <c r="E34" s="361">
        <f t="shared" si="1"/>
        <v>100</v>
      </c>
      <c r="F34" s="416">
        <v>1133</v>
      </c>
    </row>
    <row r="35" spans="1:6" s="3" customFormat="1" ht="25.5" x14ac:dyDescent="0.2">
      <c r="A35" s="457" t="s">
        <v>245</v>
      </c>
      <c r="B35" s="360">
        <v>0</v>
      </c>
      <c r="C35" s="253">
        <v>630000</v>
      </c>
      <c r="D35" s="355">
        <v>630000</v>
      </c>
      <c r="E35" s="361">
        <f t="shared" si="1"/>
        <v>100</v>
      </c>
      <c r="F35" s="416">
        <v>1136</v>
      </c>
    </row>
    <row r="36" spans="1:6" s="3" customFormat="1" ht="25.5" x14ac:dyDescent="0.2">
      <c r="A36" s="457" t="s">
        <v>246</v>
      </c>
      <c r="B36" s="360">
        <v>0</v>
      </c>
      <c r="C36" s="253">
        <v>355000</v>
      </c>
      <c r="D36" s="355">
        <v>355000</v>
      </c>
      <c r="E36" s="361">
        <f t="shared" si="1"/>
        <v>100</v>
      </c>
      <c r="F36" s="416">
        <v>1138</v>
      </c>
    </row>
    <row r="37" spans="1:6" s="3" customFormat="1" ht="25.5" x14ac:dyDescent="0.2">
      <c r="A37" s="457" t="s">
        <v>247</v>
      </c>
      <c r="B37" s="360">
        <v>0</v>
      </c>
      <c r="C37" s="253">
        <v>52927.73</v>
      </c>
      <c r="D37" s="355">
        <v>52927.73</v>
      </c>
      <c r="E37" s="361">
        <f t="shared" si="1"/>
        <v>100</v>
      </c>
      <c r="F37" s="416">
        <v>1142</v>
      </c>
    </row>
    <row r="38" spans="1:6" s="3" customFormat="1" ht="25.5" x14ac:dyDescent="0.2">
      <c r="A38" s="457" t="s">
        <v>248</v>
      </c>
      <c r="B38" s="360">
        <v>0</v>
      </c>
      <c r="C38" s="253">
        <v>185307</v>
      </c>
      <c r="D38" s="355">
        <v>185307</v>
      </c>
      <c r="E38" s="361">
        <f t="shared" si="1"/>
        <v>100</v>
      </c>
      <c r="F38" s="416">
        <v>1142</v>
      </c>
    </row>
    <row r="39" spans="1:6" s="3" customFormat="1" ht="25.5" x14ac:dyDescent="0.2">
      <c r="A39" s="457" t="s">
        <v>249</v>
      </c>
      <c r="B39" s="360">
        <v>0</v>
      </c>
      <c r="C39" s="253">
        <v>760000</v>
      </c>
      <c r="D39" s="355">
        <v>760000</v>
      </c>
      <c r="E39" s="361">
        <f t="shared" si="1"/>
        <v>100</v>
      </c>
      <c r="F39" s="416">
        <v>1162</v>
      </c>
    </row>
    <row r="40" spans="1:6" s="3" customFormat="1" ht="25.5" x14ac:dyDescent="0.2">
      <c r="A40" s="457" t="s">
        <v>250</v>
      </c>
      <c r="B40" s="360">
        <v>0</v>
      </c>
      <c r="C40" s="253">
        <v>1312924</v>
      </c>
      <c r="D40" s="355">
        <v>1312924</v>
      </c>
      <c r="E40" s="361">
        <f t="shared" si="1"/>
        <v>100</v>
      </c>
      <c r="F40" s="416">
        <v>1204</v>
      </c>
    </row>
    <row r="41" spans="1:6" s="3" customFormat="1" ht="25.5" x14ac:dyDescent="0.2">
      <c r="A41" s="457" t="s">
        <v>251</v>
      </c>
      <c r="B41" s="360">
        <v>0</v>
      </c>
      <c r="C41" s="253">
        <v>666179</v>
      </c>
      <c r="D41" s="355">
        <v>666179</v>
      </c>
      <c r="E41" s="361">
        <f t="shared" si="1"/>
        <v>100</v>
      </c>
      <c r="F41" s="416">
        <v>1221</v>
      </c>
    </row>
    <row r="42" spans="1:6" s="3" customFormat="1" ht="26.25" thickBot="1" x14ac:dyDescent="0.25">
      <c r="A42" s="458" t="s">
        <v>252</v>
      </c>
      <c r="B42" s="362">
        <v>0</v>
      </c>
      <c r="C42" s="363">
        <v>605000</v>
      </c>
      <c r="D42" s="358">
        <v>605000</v>
      </c>
      <c r="E42" s="364">
        <f t="shared" si="1"/>
        <v>100</v>
      </c>
      <c r="F42" s="417">
        <v>1300</v>
      </c>
    </row>
    <row r="43" spans="1:6" s="3" customFormat="1" ht="13.5" thickTop="1" x14ac:dyDescent="0.2">
      <c r="A43" s="245"/>
      <c r="B43" s="246"/>
      <c r="C43" s="246"/>
      <c r="D43" s="246"/>
      <c r="E43" s="227"/>
      <c r="F43" s="252"/>
    </row>
    <row r="44" spans="1:6" s="34" customFormat="1" ht="18.75" thickBot="1" x14ac:dyDescent="0.3">
      <c r="A44" s="35" t="s">
        <v>27</v>
      </c>
      <c r="B44" s="205">
        <f>B7+B29</f>
        <v>15782000</v>
      </c>
      <c r="C44" s="205">
        <f>C7+C29</f>
        <v>30442523.809999999</v>
      </c>
      <c r="D44" s="205">
        <f>D7+D29</f>
        <v>30385584.09</v>
      </c>
      <c r="E44" s="225">
        <f>D44/C44*100</f>
        <v>99.81295992291777</v>
      </c>
    </row>
    <row r="45" spans="1:6" s="34" customFormat="1" ht="18.75" thickTop="1" x14ac:dyDescent="0.25">
      <c r="A45" s="36"/>
      <c r="B45" s="206"/>
      <c r="C45" s="206"/>
      <c r="D45" s="206"/>
      <c r="E45" s="226"/>
    </row>
    <row r="46" spans="1:6" s="34" customFormat="1" ht="18" x14ac:dyDescent="0.25">
      <c r="A46" s="36"/>
      <c r="B46" s="206"/>
      <c r="C46" s="206"/>
      <c r="D46" s="206"/>
      <c r="E46" s="226"/>
    </row>
    <row r="47" spans="1:6" s="34" customFormat="1" ht="18" x14ac:dyDescent="0.25">
      <c r="A47" s="36"/>
      <c r="B47" s="206"/>
      <c r="C47" s="206"/>
      <c r="D47" s="206"/>
      <c r="E47" s="226"/>
    </row>
    <row r="48" spans="1:6" s="34" customFormat="1" ht="18" x14ac:dyDescent="0.25">
      <c r="A48" s="36"/>
      <c r="B48" s="206"/>
      <c r="C48" s="206"/>
      <c r="D48" s="206"/>
      <c r="E48" s="226"/>
    </row>
    <row r="49" spans="1:8" s="18" customFormat="1" ht="18.75" customHeight="1" x14ac:dyDescent="0.25">
      <c r="A49" s="13" t="s">
        <v>46</v>
      </c>
      <c r="B49" s="21"/>
      <c r="C49" s="21"/>
      <c r="D49" s="21"/>
      <c r="E49" s="198"/>
    </row>
    <row r="50" spans="1:8" s="18" customFormat="1" ht="15.75" thickBot="1" x14ac:dyDescent="0.3">
      <c r="A50" s="14" t="s">
        <v>292</v>
      </c>
      <c r="B50" s="224"/>
      <c r="C50" s="224"/>
      <c r="D50" s="224"/>
      <c r="E50" s="198" t="s">
        <v>18</v>
      </c>
    </row>
    <row r="51" spans="1:8" ht="14.25" thickTop="1" thickBot="1" x14ac:dyDescent="0.25">
      <c r="A51" s="12" t="s">
        <v>5</v>
      </c>
      <c r="B51" s="199" t="s">
        <v>0</v>
      </c>
      <c r="C51" s="200" t="s">
        <v>1</v>
      </c>
      <c r="D51" s="201" t="s">
        <v>4</v>
      </c>
      <c r="E51" s="185" t="s">
        <v>6</v>
      </c>
      <c r="F51" s="1"/>
    </row>
    <row r="52" spans="1:8" ht="16.5" thickTop="1" thickBot="1" x14ac:dyDescent="0.25">
      <c r="A52" s="69" t="s">
        <v>9</v>
      </c>
      <c r="B52" s="247">
        <f>SUM(B53:B76)</f>
        <v>42971000</v>
      </c>
      <c r="C52" s="247">
        <f>SUM(C53:C76)</f>
        <v>43939369.589999996</v>
      </c>
      <c r="D52" s="247">
        <f>SUM(D53:D76)</f>
        <v>43759285.189999998</v>
      </c>
      <c r="E52" s="388">
        <f t="shared" ref="E52" si="2">D52/C52*100</f>
        <v>99.590152517707082</v>
      </c>
      <c r="F52" s="1"/>
      <c r="H52" s="286"/>
    </row>
    <row r="53" spans="1:8" ht="25.5" x14ac:dyDescent="0.2">
      <c r="A53" s="356" t="s">
        <v>93</v>
      </c>
      <c r="B53" s="367">
        <v>9039000</v>
      </c>
      <c r="C53" s="367">
        <v>9713051.9399999995</v>
      </c>
      <c r="D53" s="367">
        <v>9713051.9399999995</v>
      </c>
      <c r="E53" s="365">
        <f>D53/C53*100</f>
        <v>100</v>
      </c>
      <c r="F53" s="418">
        <v>60002100091</v>
      </c>
      <c r="H53" s="286"/>
    </row>
    <row r="54" spans="1:8" x14ac:dyDescent="0.2">
      <c r="A54" s="389" t="s">
        <v>253</v>
      </c>
      <c r="B54" s="367">
        <v>200000</v>
      </c>
      <c r="C54" s="367">
        <v>229295</v>
      </c>
      <c r="D54" s="367">
        <v>229295</v>
      </c>
      <c r="E54" s="365">
        <f t="shared" ref="E54:E76" si="3">D54/C54*100</f>
        <v>100</v>
      </c>
      <c r="F54" s="419" t="s">
        <v>92</v>
      </c>
      <c r="H54" s="286"/>
    </row>
    <row r="55" spans="1:8" x14ac:dyDescent="0.2">
      <c r="A55" s="390" t="s">
        <v>88</v>
      </c>
      <c r="B55" s="367">
        <v>93000</v>
      </c>
      <c r="C55" s="367">
        <v>129960.1</v>
      </c>
      <c r="D55" s="367">
        <v>129959</v>
      </c>
      <c r="E55" s="365">
        <f t="shared" si="3"/>
        <v>99.999153586369971</v>
      </c>
      <c r="F55" s="420">
        <v>60002100403</v>
      </c>
      <c r="H55" s="286"/>
    </row>
    <row r="56" spans="1:8" ht="25.5" x14ac:dyDescent="0.2">
      <c r="A56" s="391" t="s">
        <v>254</v>
      </c>
      <c r="B56" s="367">
        <v>10000000</v>
      </c>
      <c r="C56" s="367">
        <v>8474795.1400000006</v>
      </c>
      <c r="D56" s="367">
        <v>8474795.1400000006</v>
      </c>
      <c r="E56" s="365">
        <f t="shared" si="3"/>
        <v>100</v>
      </c>
      <c r="F56" s="420">
        <v>60002100523</v>
      </c>
      <c r="H56" s="286"/>
    </row>
    <row r="57" spans="1:8" x14ac:dyDescent="0.2">
      <c r="A57" s="391" t="s">
        <v>255</v>
      </c>
      <c r="B57" s="367">
        <v>10830000</v>
      </c>
      <c r="C57" s="367">
        <v>8008038.46</v>
      </c>
      <c r="D57" s="367">
        <v>8008038.46</v>
      </c>
      <c r="E57" s="365">
        <f t="shared" si="3"/>
        <v>100</v>
      </c>
      <c r="F57" s="416">
        <v>60002100529</v>
      </c>
      <c r="H57" s="286"/>
    </row>
    <row r="58" spans="1:8" x14ac:dyDescent="0.2">
      <c r="A58" s="392" t="s">
        <v>256</v>
      </c>
      <c r="B58" s="367">
        <v>0</v>
      </c>
      <c r="C58" s="367">
        <v>209497</v>
      </c>
      <c r="D58" s="367">
        <v>209497</v>
      </c>
      <c r="E58" s="365">
        <f t="shared" si="3"/>
        <v>100</v>
      </c>
      <c r="F58" s="416">
        <v>60002100690</v>
      </c>
      <c r="H58" s="286"/>
    </row>
    <row r="59" spans="1:8" x14ac:dyDescent="0.2">
      <c r="A59" s="393" t="s">
        <v>89</v>
      </c>
      <c r="B59" s="367">
        <v>66000</v>
      </c>
      <c r="C59" s="367">
        <v>65340</v>
      </c>
      <c r="D59" s="367">
        <v>65340</v>
      </c>
      <c r="E59" s="365">
        <f t="shared" si="3"/>
        <v>100</v>
      </c>
      <c r="F59" s="416">
        <v>60002100754</v>
      </c>
      <c r="H59" s="286"/>
    </row>
    <row r="60" spans="1:8" x14ac:dyDescent="0.2">
      <c r="A60" s="391" t="s">
        <v>90</v>
      </c>
      <c r="B60" s="367">
        <v>7360000</v>
      </c>
      <c r="C60" s="367">
        <v>3941555.86</v>
      </c>
      <c r="D60" s="367">
        <v>3941546.6</v>
      </c>
      <c r="E60" s="365">
        <f t="shared" si="3"/>
        <v>99.999765067391451</v>
      </c>
      <c r="F60" s="416">
        <v>60002100756</v>
      </c>
      <c r="H60" s="286"/>
    </row>
    <row r="61" spans="1:8" x14ac:dyDescent="0.2">
      <c r="A61" s="394" t="s">
        <v>91</v>
      </c>
      <c r="B61" s="367">
        <v>1400000</v>
      </c>
      <c r="C61" s="367">
        <v>1392640.45</v>
      </c>
      <c r="D61" s="367">
        <v>1392640.45</v>
      </c>
      <c r="E61" s="365">
        <f t="shared" si="3"/>
        <v>100</v>
      </c>
      <c r="F61" s="416">
        <v>60002100766</v>
      </c>
      <c r="H61" s="286"/>
    </row>
    <row r="62" spans="1:8" x14ac:dyDescent="0.2">
      <c r="A62" s="394" t="s">
        <v>94</v>
      </c>
      <c r="B62" s="367">
        <v>3100000</v>
      </c>
      <c r="C62" s="367">
        <v>2600949.71</v>
      </c>
      <c r="D62" s="367">
        <v>2600949.71</v>
      </c>
      <c r="E62" s="365">
        <f t="shared" si="3"/>
        <v>100</v>
      </c>
      <c r="F62" s="416">
        <v>60002100801</v>
      </c>
      <c r="H62" s="286"/>
    </row>
    <row r="63" spans="1:8" x14ac:dyDescent="0.2">
      <c r="A63" s="394" t="s">
        <v>95</v>
      </c>
      <c r="B63" s="367">
        <v>883000</v>
      </c>
      <c r="C63" s="367">
        <v>741942.88</v>
      </c>
      <c r="D63" s="367">
        <v>741942.88</v>
      </c>
      <c r="E63" s="365">
        <f t="shared" si="3"/>
        <v>100</v>
      </c>
      <c r="F63" s="416">
        <v>60002100809</v>
      </c>
      <c r="H63" s="286"/>
    </row>
    <row r="64" spans="1:8" ht="15" x14ac:dyDescent="0.2">
      <c r="A64" s="395" t="s">
        <v>257</v>
      </c>
      <c r="B64" s="367">
        <v>0</v>
      </c>
      <c r="C64" s="367">
        <v>1767772.23</v>
      </c>
      <c r="D64" s="367">
        <v>1767772.23</v>
      </c>
      <c r="E64" s="365">
        <f t="shared" si="3"/>
        <v>100</v>
      </c>
      <c r="F64" s="414">
        <v>60002100834</v>
      </c>
      <c r="H64" s="286"/>
    </row>
    <row r="65" spans="1:8" ht="15" x14ac:dyDescent="0.25">
      <c r="A65" s="396" t="s">
        <v>258</v>
      </c>
      <c r="B65" s="367">
        <v>0</v>
      </c>
      <c r="C65" s="367">
        <v>1283348</v>
      </c>
      <c r="D65" s="367">
        <v>1283348</v>
      </c>
      <c r="E65" s="365">
        <f t="shared" si="3"/>
        <v>100</v>
      </c>
      <c r="F65" s="420">
        <v>60002100844</v>
      </c>
      <c r="H65" s="286"/>
    </row>
    <row r="66" spans="1:8" ht="15" x14ac:dyDescent="0.25">
      <c r="A66" s="396" t="s">
        <v>259</v>
      </c>
      <c r="B66" s="367">
        <v>0</v>
      </c>
      <c r="C66" s="367">
        <v>299038.82</v>
      </c>
      <c r="D66" s="367">
        <v>299038.82</v>
      </c>
      <c r="E66" s="365">
        <f t="shared" si="3"/>
        <v>100</v>
      </c>
      <c r="F66" s="414">
        <v>60002100846</v>
      </c>
      <c r="H66" s="286"/>
    </row>
    <row r="67" spans="1:8" ht="15" x14ac:dyDescent="0.25">
      <c r="A67" s="396" t="s">
        <v>260</v>
      </c>
      <c r="B67" s="367">
        <v>0</v>
      </c>
      <c r="C67" s="367">
        <v>336409</v>
      </c>
      <c r="D67" s="367">
        <v>298522</v>
      </c>
      <c r="E67" s="365">
        <f t="shared" si="3"/>
        <v>88.73781617019759</v>
      </c>
      <c r="F67" s="420">
        <v>60002100847</v>
      </c>
      <c r="H67" s="286"/>
    </row>
    <row r="68" spans="1:8" ht="15" x14ac:dyDescent="0.25">
      <c r="A68" s="396" t="s">
        <v>261</v>
      </c>
      <c r="B68" s="367">
        <v>0</v>
      </c>
      <c r="C68" s="367">
        <v>1295691</v>
      </c>
      <c r="D68" s="367">
        <v>1295691</v>
      </c>
      <c r="E68" s="365">
        <f t="shared" si="3"/>
        <v>100</v>
      </c>
      <c r="F68" s="420">
        <v>60002100848</v>
      </c>
      <c r="H68" s="286"/>
    </row>
    <row r="69" spans="1:8" ht="15" x14ac:dyDescent="0.25">
      <c r="A69" s="396" t="s">
        <v>262</v>
      </c>
      <c r="B69" s="367">
        <v>0</v>
      </c>
      <c r="C69" s="367">
        <v>1054656</v>
      </c>
      <c r="D69" s="367">
        <v>913903.96</v>
      </c>
      <c r="E69" s="365">
        <f t="shared" si="3"/>
        <v>86.654222798713505</v>
      </c>
      <c r="F69" s="420">
        <v>60002100849</v>
      </c>
      <c r="H69" s="286"/>
    </row>
    <row r="70" spans="1:8" ht="15" x14ac:dyDescent="0.25">
      <c r="A70" s="396" t="s">
        <v>263</v>
      </c>
      <c r="B70" s="337">
        <v>0</v>
      </c>
      <c r="C70" s="337">
        <v>458399</v>
      </c>
      <c r="D70" s="337">
        <v>458399</v>
      </c>
      <c r="E70" s="365">
        <f t="shared" si="3"/>
        <v>100</v>
      </c>
      <c r="F70" s="420">
        <v>60002100850</v>
      </c>
    </row>
    <row r="71" spans="1:8" ht="30" x14ac:dyDescent="0.25">
      <c r="A71" s="397" t="s">
        <v>264</v>
      </c>
      <c r="B71" s="337">
        <v>0</v>
      </c>
      <c r="C71" s="337">
        <v>66838</v>
      </c>
      <c r="D71" s="341">
        <v>66838</v>
      </c>
      <c r="E71" s="365">
        <f t="shared" si="3"/>
        <v>100</v>
      </c>
      <c r="F71" s="420">
        <v>60002100851</v>
      </c>
    </row>
    <row r="72" spans="1:8" ht="15" x14ac:dyDescent="0.25">
      <c r="A72" s="396" t="s">
        <v>265</v>
      </c>
      <c r="B72" s="349">
        <v>0</v>
      </c>
      <c r="C72" s="349">
        <v>696557</v>
      </c>
      <c r="D72" s="337">
        <v>696557</v>
      </c>
      <c r="E72" s="365">
        <f t="shared" si="3"/>
        <v>100</v>
      </c>
      <c r="F72" s="420">
        <v>60002100852</v>
      </c>
    </row>
    <row r="73" spans="1:8" ht="15" x14ac:dyDescent="0.25">
      <c r="A73" s="396" t="s">
        <v>266</v>
      </c>
      <c r="B73" s="366">
        <v>0</v>
      </c>
      <c r="C73" s="366">
        <v>214000</v>
      </c>
      <c r="D73" s="337">
        <v>212565</v>
      </c>
      <c r="E73" s="365">
        <f t="shared" si="3"/>
        <v>99.329439252336442</v>
      </c>
      <c r="F73" s="414">
        <v>60002100853</v>
      </c>
    </row>
    <row r="74" spans="1:8" ht="15" x14ac:dyDescent="0.25">
      <c r="A74" s="396" t="s">
        <v>267</v>
      </c>
      <c r="B74" s="349">
        <v>0</v>
      </c>
      <c r="C74" s="349">
        <v>304982</v>
      </c>
      <c r="D74" s="349">
        <v>304982</v>
      </c>
      <c r="E74" s="365">
        <f t="shared" si="3"/>
        <v>100</v>
      </c>
      <c r="F74" s="414">
        <v>60002100854</v>
      </c>
    </row>
    <row r="75" spans="1:8" ht="30" x14ac:dyDescent="0.25">
      <c r="A75" s="397" t="s">
        <v>268</v>
      </c>
      <c r="B75" s="349">
        <v>0</v>
      </c>
      <c r="C75" s="349">
        <v>340639</v>
      </c>
      <c r="D75" s="349">
        <v>340639</v>
      </c>
      <c r="E75" s="365">
        <f t="shared" si="3"/>
        <v>100</v>
      </c>
      <c r="F75" s="421">
        <v>60002100855</v>
      </c>
    </row>
    <row r="76" spans="1:8" ht="30.75" thickBot="1" x14ac:dyDescent="0.3">
      <c r="A76" s="398" t="s">
        <v>269</v>
      </c>
      <c r="B76" s="351">
        <v>0</v>
      </c>
      <c r="C76" s="351">
        <v>313973</v>
      </c>
      <c r="D76" s="351">
        <v>313973</v>
      </c>
      <c r="E76" s="369">
        <f t="shared" si="3"/>
        <v>100</v>
      </c>
      <c r="F76" s="422">
        <v>60002100856</v>
      </c>
    </row>
    <row r="77" spans="1:8" s="3" customFormat="1" ht="13.5" thickTop="1" x14ac:dyDescent="0.2">
      <c r="A77" s="255"/>
      <c r="B77" s="256"/>
      <c r="C77" s="256"/>
      <c r="D77" s="257"/>
      <c r="E77" s="258"/>
      <c r="F77" s="254"/>
    </row>
    <row r="78" spans="1:8" ht="19.5" customHeight="1" thickBot="1" x14ac:dyDescent="0.3">
      <c r="A78" s="35" t="s">
        <v>28</v>
      </c>
      <c r="B78" s="205">
        <f>B52</f>
        <v>42971000</v>
      </c>
      <c r="C78" s="205">
        <f t="shared" ref="C78:D78" si="4">C52</f>
        <v>43939369.589999996</v>
      </c>
      <c r="D78" s="205">
        <f t="shared" si="4"/>
        <v>43759285.189999998</v>
      </c>
      <c r="E78" s="225">
        <f>D78/C78*100</f>
        <v>99.590152517707082</v>
      </c>
      <c r="F78" s="9"/>
    </row>
    <row r="79" spans="1:8" ht="14.25" customHeight="1" thickTop="1" x14ac:dyDescent="0.2">
      <c r="A79" s="26"/>
      <c r="B79" s="68"/>
      <c r="C79" s="68"/>
      <c r="D79" s="68"/>
      <c r="E79" s="227"/>
      <c r="F79" s="9"/>
    </row>
    <row r="80" spans="1:8" ht="14.25" customHeight="1" x14ac:dyDescent="0.2">
      <c r="A80" s="26"/>
      <c r="B80" s="68"/>
      <c r="C80" s="68"/>
      <c r="D80" s="68"/>
      <c r="E80" s="227"/>
      <c r="F80" s="9"/>
    </row>
    <row r="81" spans="1:6" ht="14.25" customHeight="1" x14ac:dyDescent="0.2">
      <c r="A81" s="26"/>
      <c r="B81" s="68"/>
      <c r="C81" s="68"/>
      <c r="D81" s="68"/>
      <c r="E81" s="227"/>
      <c r="F81" s="9"/>
    </row>
    <row r="82" spans="1:6" s="18" customFormat="1" ht="18.75" customHeight="1" x14ac:dyDescent="0.25">
      <c r="A82" s="13" t="s">
        <v>48</v>
      </c>
      <c r="B82" s="21"/>
      <c r="C82" s="21"/>
      <c r="D82" s="21"/>
      <c r="E82" s="198"/>
    </row>
    <row r="83" spans="1:6" s="18" customFormat="1" ht="15.75" thickBot="1" x14ac:dyDescent="0.3">
      <c r="A83" s="14" t="s">
        <v>292</v>
      </c>
      <c r="B83" s="224"/>
      <c r="C83" s="224"/>
      <c r="D83" s="224"/>
      <c r="E83" s="198" t="s">
        <v>18</v>
      </c>
    </row>
    <row r="84" spans="1:6" ht="14.25" thickTop="1" thickBot="1" x14ac:dyDescent="0.25">
      <c r="A84" s="12" t="s">
        <v>5</v>
      </c>
      <c r="B84" s="199" t="s">
        <v>0</v>
      </c>
      <c r="C84" s="200" t="s">
        <v>1</v>
      </c>
      <c r="D84" s="201" t="s">
        <v>4</v>
      </c>
      <c r="E84" s="185" t="s">
        <v>6</v>
      </c>
      <c r="F84" s="1"/>
    </row>
    <row r="85" spans="1:6" ht="16.5" thickTop="1" thickBot="1" x14ac:dyDescent="0.25">
      <c r="A85" s="69" t="s">
        <v>11</v>
      </c>
      <c r="B85" s="247">
        <f>SUM(B86:B113)</f>
        <v>10365000</v>
      </c>
      <c r="C85" s="247">
        <f>SUM(C86:C113)</f>
        <v>11209502.219999999</v>
      </c>
      <c r="D85" s="247">
        <f>SUM(D86:D113)</f>
        <v>10130991.35</v>
      </c>
      <c r="E85" s="388">
        <f>D85/C85*100</f>
        <v>90.378601575405199</v>
      </c>
      <c r="F85" s="411"/>
    </row>
    <row r="86" spans="1:6" x14ac:dyDescent="0.2">
      <c r="A86" s="402" t="s">
        <v>270</v>
      </c>
      <c r="B86" s="367">
        <v>1351000</v>
      </c>
      <c r="C86" s="367">
        <v>511693.07</v>
      </c>
      <c r="D86" s="337">
        <v>510183.08</v>
      </c>
      <c r="E86" s="365">
        <f t="shared" ref="E86:E113" si="5">D86/C86*100</f>
        <v>99.704903175647857</v>
      </c>
      <c r="F86" s="412">
        <v>60004100037</v>
      </c>
    </row>
    <row r="87" spans="1:6" x14ac:dyDescent="0.2">
      <c r="A87" s="402" t="s">
        <v>101</v>
      </c>
      <c r="B87" s="367">
        <v>488000</v>
      </c>
      <c r="C87" s="367">
        <v>277285.3</v>
      </c>
      <c r="D87" s="337">
        <v>116949.2</v>
      </c>
      <c r="E87" s="365">
        <f t="shared" si="5"/>
        <v>42.176487538286381</v>
      </c>
      <c r="F87" s="413">
        <v>60004100040</v>
      </c>
    </row>
    <row r="88" spans="1:6" x14ac:dyDescent="0.2">
      <c r="A88" s="402" t="s">
        <v>271</v>
      </c>
      <c r="B88" s="367">
        <v>978000</v>
      </c>
      <c r="C88" s="367">
        <v>660785.21</v>
      </c>
      <c r="D88" s="337">
        <v>660781</v>
      </c>
      <c r="E88" s="365">
        <f t="shared" si="5"/>
        <v>99.999362879202465</v>
      </c>
      <c r="F88" s="413">
        <v>60004100041</v>
      </c>
    </row>
    <row r="89" spans="1:6" x14ac:dyDescent="0.2">
      <c r="A89" s="403" t="s">
        <v>176</v>
      </c>
      <c r="B89" s="367">
        <v>0</v>
      </c>
      <c r="C89" s="367">
        <v>178475</v>
      </c>
      <c r="D89" s="337">
        <v>171820</v>
      </c>
      <c r="E89" s="365">
        <f t="shared" si="5"/>
        <v>96.271186440677965</v>
      </c>
      <c r="F89" s="414">
        <v>60004100106</v>
      </c>
    </row>
    <row r="90" spans="1:6" x14ac:dyDescent="0.2">
      <c r="A90" s="403" t="s">
        <v>272</v>
      </c>
      <c r="B90" s="367">
        <v>0</v>
      </c>
      <c r="C90" s="367">
        <v>219187</v>
      </c>
      <c r="D90" s="337">
        <v>1000</v>
      </c>
      <c r="E90" s="365">
        <f t="shared" si="5"/>
        <v>0.45623143708340369</v>
      </c>
      <c r="F90" s="414">
        <v>60004100110</v>
      </c>
    </row>
    <row r="91" spans="1:6" x14ac:dyDescent="0.2">
      <c r="A91" s="404" t="s">
        <v>273</v>
      </c>
      <c r="B91" s="367">
        <v>655000</v>
      </c>
      <c r="C91" s="367">
        <v>553042.6</v>
      </c>
      <c r="D91" s="337">
        <v>0</v>
      </c>
      <c r="E91" s="365">
        <f t="shared" si="5"/>
        <v>0</v>
      </c>
      <c r="F91" s="415">
        <v>60004100112</v>
      </c>
    </row>
    <row r="92" spans="1:6" x14ac:dyDescent="0.2">
      <c r="A92" s="404" t="s">
        <v>102</v>
      </c>
      <c r="B92" s="367">
        <v>0</v>
      </c>
      <c r="C92" s="367">
        <v>25521</v>
      </c>
      <c r="D92" s="337">
        <v>25521</v>
      </c>
      <c r="E92" s="365">
        <f t="shared" si="5"/>
        <v>100</v>
      </c>
      <c r="F92" s="415">
        <v>60004100289</v>
      </c>
    </row>
    <row r="93" spans="1:6" x14ac:dyDescent="0.2">
      <c r="A93" s="405" t="s">
        <v>121</v>
      </c>
      <c r="B93" s="367">
        <v>0</v>
      </c>
      <c r="C93" s="367">
        <v>835251</v>
      </c>
      <c r="D93" s="337">
        <v>835251</v>
      </c>
      <c r="E93" s="365">
        <f t="shared" si="5"/>
        <v>100</v>
      </c>
      <c r="F93" s="414">
        <v>60004100532</v>
      </c>
    </row>
    <row r="94" spans="1:6" x14ac:dyDescent="0.2">
      <c r="A94" s="406" t="s">
        <v>224</v>
      </c>
      <c r="B94" s="367">
        <v>0</v>
      </c>
      <c r="C94" s="367">
        <v>817204</v>
      </c>
      <c r="D94" s="337">
        <v>817204</v>
      </c>
      <c r="E94" s="365">
        <f t="shared" si="5"/>
        <v>100</v>
      </c>
      <c r="F94" s="414">
        <v>60004100534</v>
      </c>
    </row>
    <row r="95" spans="1:6" x14ac:dyDescent="0.2">
      <c r="A95" s="404" t="s">
        <v>218</v>
      </c>
      <c r="B95" s="367">
        <v>0</v>
      </c>
      <c r="C95" s="367">
        <v>647650</v>
      </c>
      <c r="D95" s="337">
        <v>646986.30000000005</v>
      </c>
      <c r="E95" s="365">
        <f t="shared" si="5"/>
        <v>99.897521809619406</v>
      </c>
      <c r="F95" s="415">
        <v>60004100535</v>
      </c>
    </row>
    <row r="96" spans="1:6" x14ac:dyDescent="0.2">
      <c r="A96" s="407" t="s">
        <v>274</v>
      </c>
      <c r="B96" s="367">
        <v>0</v>
      </c>
      <c r="C96" s="367">
        <v>532400</v>
      </c>
      <c r="D96" s="337">
        <v>532400</v>
      </c>
      <c r="E96" s="365">
        <f t="shared" si="5"/>
        <v>100</v>
      </c>
      <c r="F96" s="414">
        <v>60004100536</v>
      </c>
    </row>
    <row r="97" spans="1:6" x14ac:dyDescent="0.2">
      <c r="A97" s="408" t="s">
        <v>96</v>
      </c>
      <c r="B97" s="367">
        <v>0</v>
      </c>
      <c r="C97" s="367">
        <v>50076</v>
      </c>
      <c r="D97" s="337">
        <v>50076</v>
      </c>
      <c r="E97" s="365">
        <f t="shared" si="5"/>
        <v>100</v>
      </c>
      <c r="F97" s="415">
        <v>60004100643</v>
      </c>
    </row>
    <row r="98" spans="1:6" x14ac:dyDescent="0.2">
      <c r="A98" s="404" t="s">
        <v>97</v>
      </c>
      <c r="B98" s="367">
        <v>0</v>
      </c>
      <c r="C98" s="367">
        <v>1535810</v>
      </c>
      <c r="D98" s="337">
        <v>1535809.1</v>
      </c>
      <c r="E98" s="365">
        <f t="shared" si="5"/>
        <v>99.999941399001173</v>
      </c>
      <c r="F98" s="413">
        <v>60004100645</v>
      </c>
    </row>
    <row r="99" spans="1:6" x14ac:dyDescent="0.2">
      <c r="A99" s="402" t="s">
        <v>98</v>
      </c>
      <c r="B99" s="367">
        <v>1834000</v>
      </c>
      <c r="C99" s="367">
        <v>71390</v>
      </c>
      <c r="D99" s="337">
        <v>71390</v>
      </c>
      <c r="E99" s="365">
        <f t="shared" si="5"/>
        <v>100</v>
      </c>
      <c r="F99" s="413">
        <v>60004100646</v>
      </c>
    </row>
    <row r="100" spans="1:6" x14ac:dyDescent="0.2">
      <c r="A100" s="402" t="s">
        <v>219</v>
      </c>
      <c r="B100" s="367">
        <v>0</v>
      </c>
      <c r="C100" s="367">
        <v>0</v>
      </c>
      <c r="D100" s="337">
        <v>0</v>
      </c>
      <c r="E100" s="365">
        <v>0</v>
      </c>
      <c r="F100" s="413">
        <v>60004100671</v>
      </c>
    </row>
    <row r="101" spans="1:6" x14ac:dyDescent="0.2">
      <c r="A101" s="391" t="s">
        <v>275</v>
      </c>
      <c r="B101" s="367">
        <v>337000</v>
      </c>
      <c r="C101" s="367">
        <v>0</v>
      </c>
      <c r="D101" s="337">
        <v>0</v>
      </c>
      <c r="E101" s="365">
        <v>0</v>
      </c>
      <c r="F101" s="413">
        <v>60004100672</v>
      </c>
    </row>
    <row r="102" spans="1:6" x14ac:dyDescent="0.2">
      <c r="A102" s="391" t="s">
        <v>276</v>
      </c>
      <c r="B102" s="367">
        <v>1407000</v>
      </c>
      <c r="C102" s="367">
        <v>948330.5</v>
      </c>
      <c r="D102" s="337">
        <v>948330.5</v>
      </c>
      <c r="E102" s="365">
        <f t="shared" si="5"/>
        <v>100</v>
      </c>
      <c r="F102" s="413">
        <v>60004100673</v>
      </c>
    </row>
    <row r="103" spans="1:6" x14ac:dyDescent="0.2">
      <c r="A103" s="391" t="s">
        <v>277</v>
      </c>
      <c r="B103" s="367">
        <v>519000</v>
      </c>
      <c r="C103" s="367">
        <v>934669.1</v>
      </c>
      <c r="D103" s="337">
        <v>934668.07</v>
      </c>
      <c r="E103" s="365">
        <f t="shared" si="5"/>
        <v>99.999889800572191</v>
      </c>
      <c r="F103" s="413">
        <v>60004100674</v>
      </c>
    </row>
    <row r="104" spans="1:6" x14ac:dyDescent="0.2">
      <c r="A104" s="391" t="s">
        <v>278</v>
      </c>
      <c r="B104" s="367">
        <v>560000</v>
      </c>
      <c r="C104" s="367">
        <v>325154</v>
      </c>
      <c r="D104" s="337">
        <v>325154</v>
      </c>
      <c r="E104" s="365">
        <f t="shared" si="5"/>
        <v>100</v>
      </c>
      <c r="F104" s="413">
        <v>60004100675</v>
      </c>
    </row>
    <row r="105" spans="1:6" x14ac:dyDescent="0.2">
      <c r="A105" s="391" t="s">
        <v>279</v>
      </c>
      <c r="B105" s="367">
        <v>144000</v>
      </c>
      <c r="C105" s="367">
        <v>151731</v>
      </c>
      <c r="D105" s="337">
        <v>151250</v>
      </c>
      <c r="E105" s="365">
        <f t="shared" si="5"/>
        <v>99.682991610152172</v>
      </c>
      <c r="F105" s="413">
        <v>60004100676</v>
      </c>
    </row>
    <row r="106" spans="1:6" x14ac:dyDescent="0.2">
      <c r="A106" s="391" t="s">
        <v>280</v>
      </c>
      <c r="B106" s="367">
        <v>442000</v>
      </c>
      <c r="C106" s="367">
        <v>82800</v>
      </c>
      <c r="D106" s="337">
        <v>82280</v>
      </c>
      <c r="E106" s="365">
        <f t="shared" si="5"/>
        <v>99.371980676328491</v>
      </c>
      <c r="F106" s="413">
        <v>60004100677</v>
      </c>
    </row>
    <row r="107" spans="1:6" x14ac:dyDescent="0.2">
      <c r="A107" s="391" t="s">
        <v>281</v>
      </c>
      <c r="B107" s="367">
        <v>235000</v>
      </c>
      <c r="C107" s="367">
        <v>258486.44</v>
      </c>
      <c r="D107" s="337">
        <v>257488</v>
      </c>
      <c r="E107" s="365">
        <f t="shared" si="5"/>
        <v>99.613736024218525</v>
      </c>
      <c r="F107" s="413">
        <v>60004100678</v>
      </c>
    </row>
    <row r="108" spans="1:6" x14ac:dyDescent="0.2">
      <c r="A108" s="391" t="s">
        <v>220</v>
      </c>
      <c r="B108" s="367">
        <v>0</v>
      </c>
      <c r="C108" s="367">
        <v>96705.2</v>
      </c>
      <c r="D108" s="337">
        <v>96705.2</v>
      </c>
      <c r="E108" s="365">
        <f t="shared" si="5"/>
        <v>100</v>
      </c>
      <c r="F108" s="413">
        <v>60004100679</v>
      </c>
    </row>
    <row r="109" spans="1:6" x14ac:dyDescent="0.2">
      <c r="A109" s="391" t="s">
        <v>282</v>
      </c>
      <c r="B109" s="367">
        <v>138000</v>
      </c>
      <c r="C109" s="367">
        <v>51183</v>
      </c>
      <c r="D109" s="337">
        <v>51183</v>
      </c>
      <c r="E109" s="365">
        <f t="shared" si="5"/>
        <v>100</v>
      </c>
      <c r="F109" s="413">
        <v>60004100680</v>
      </c>
    </row>
    <row r="110" spans="1:6" x14ac:dyDescent="0.2">
      <c r="A110" s="402" t="s">
        <v>100</v>
      </c>
      <c r="B110" s="367">
        <v>577000</v>
      </c>
      <c r="C110" s="367">
        <v>488533.8</v>
      </c>
      <c r="D110" s="337">
        <v>352834.4</v>
      </c>
      <c r="E110" s="365">
        <f t="shared" si="5"/>
        <v>72.223129699521309</v>
      </c>
      <c r="F110" s="416">
        <v>60004100781</v>
      </c>
    </row>
    <row r="111" spans="1:6" x14ac:dyDescent="0.2">
      <c r="A111" s="402" t="s">
        <v>179</v>
      </c>
      <c r="B111" s="367">
        <v>0</v>
      </c>
      <c r="C111" s="367">
        <v>0</v>
      </c>
      <c r="D111" s="337">
        <v>0</v>
      </c>
      <c r="E111" s="365">
        <v>0</v>
      </c>
      <c r="F111" s="416">
        <v>60004100798</v>
      </c>
    </row>
    <row r="112" spans="1:6" x14ac:dyDescent="0.2">
      <c r="A112" s="409" t="s">
        <v>178</v>
      </c>
      <c r="B112" s="367">
        <v>0</v>
      </c>
      <c r="C112" s="367">
        <v>339973</v>
      </c>
      <c r="D112" s="337">
        <v>339973</v>
      </c>
      <c r="E112" s="365">
        <f t="shared" si="5"/>
        <v>100</v>
      </c>
      <c r="F112" s="414">
        <v>60004100803</v>
      </c>
    </row>
    <row r="113" spans="1:6" ht="13.5" thickBot="1" x14ac:dyDescent="0.25">
      <c r="A113" s="410" t="s">
        <v>283</v>
      </c>
      <c r="B113" s="368">
        <v>700000</v>
      </c>
      <c r="C113" s="368">
        <v>616166</v>
      </c>
      <c r="D113" s="446">
        <v>615754.5</v>
      </c>
      <c r="E113" s="369">
        <f t="shared" si="5"/>
        <v>99.933216048921878</v>
      </c>
      <c r="F113" s="417">
        <v>60004100804</v>
      </c>
    </row>
    <row r="114" spans="1:6" ht="14.25" customHeight="1" thickTop="1" x14ac:dyDescent="0.2">
      <c r="A114" s="26"/>
      <c r="B114" s="68"/>
      <c r="C114" s="68"/>
      <c r="D114" s="68"/>
      <c r="E114" s="227"/>
      <c r="F114" s="9"/>
    </row>
    <row r="115" spans="1:6" s="18" customFormat="1" ht="18.75" customHeight="1" thickBot="1" x14ac:dyDescent="0.3">
      <c r="A115" s="35" t="s">
        <v>32</v>
      </c>
      <c r="B115" s="205">
        <f>B85</f>
        <v>10365000</v>
      </c>
      <c r="C115" s="205">
        <f t="shared" ref="C115:D115" si="6">C85</f>
        <v>11209502.219999999</v>
      </c>
      <c r="D115" s="205">
        <f t="shared" si="6"/>
        <v>10130991.35</v>
      </c>
      <c r="E115" s="225">
        <f>D115/C115*100</f>
        <v>90.378601575405199</v>
      </c>
    </row>
    <row r="116" spans="1:6" s="18" customFormat="1" ht="18.75" customHeight="1" thickTop="1" x14ac:dyDescent="0.25">
      <c r="A116" s="36"/>
      <c r="B116" s="206"/>
      <c r="C116" s="206"/>
      <c r="D116" s="206"/>
      <c r="E116" s="228"/>
    </row>
    <row r="117" spans="1:6" s="18" customFormat="1" ht="18.75" customHeight="1" x14ac:dyDescent="0.25">
      <c r="A117" s="36"/>
      <c r="B117" s="206"/>
      <c r="C117" s="206"/>
      <c r="D117" s="206"/>
      <c r="E117" s="228"/>
    </row>
    <row r="118" spans="1:6" s="18" customFormat="1" ht="18.75" customHeight="1" x14ac:dyDescent="0.25">
      <c r="A118" s="36"/>
      <c r="B118" s="206"/>
      <c r="C118" s="206"/>
      <c r="D118" s="206"/>
      <c r="E118" s="228"/>
    </row>
    <row r="119" spans="1:6" s="18" customFormat="1" ht="18" x14ac:dyDescent="0.25">
      <c r="A119" s="13" t="s">
        <v>47</v>
      </c>
      <c r="B119" s="21"/>
      <c r="C119" s="21"/>
      <c r="D119" s="21"/>
      <c r="E119" s="198"/>
    </row>
    <row r="120" spans="1:6" ht="15.75" thickBot="1" x14ac:dyDescent="0.3">
      <c r="A120" s="14" t="s">
        <v>292</v>
      </c>
      <c r="B120" s="224"/>
      <c r="C120" s="224"/>
      <c r="D120" s="224"/>
      <c r="E120" s="198" t="s">
        <v>18</v>
      </c>
      <c r="F120" s="1"/>
    </row>
    <row r="121" spans="1:6" ht="15.75" customHeight="1" thickTop="1" thickBot="1" x14ac:dyDescent="0.25">
      <c r="A121" s="12" t="s">
        <v>5</v>
      </c>
      <c r="B121" s="199" t="s">
        <v>0</v>
      </c>
      <c r="C121" s="200" t="s">
        <v>1</v>
      </c>
      <c r="D121" s="201" t="s">
        <v>4</v>
      </c>
      <c r="E121" s="185" t="s">
        <v>6</v>
      </c>
      <c r="F121" s="6" t="s">
        <v>2</v>
      </c>
    </row>
    <row r="122" spans="1:6" ht="15.75" thickTop="1" x14ac:dyDescent="0.2">
      <c r="A122" s="69" t="s">
        <v>8</v>
      </c>
      <c r="B122" s="247">
        <f>SUM(B123:B129)</f>
        <v>8250000</v>
      </c>
      <c r="C122" s="247">
        <f>SUM(C123:C129)</f>
        <v>13188005</v>
      </c>
      <c r="D122" s="247">
        <f>SUM(D123:D129)</f>
        <v>12021093.67</v>
      </c>
      <c r="E122" s="388">
        <f t="shared" ref="E122:E128" si="7">D122/C122*100</f>
        <v>91.151722114148427</v>
      </c>
      <c r="F122" s="431"/>
    </row>
    <row r="123" spans="1:6" ht="14.25" customHeight="1" x14ac:dyDescent="0.2">
      <c r="A123" s="427" t="s">
        <v>104</v>
      </c>
      <c r="B123" s="370">
        <v>5341000</v>
      </c>
      <c r="C123" s="375">
        <v>6956424</v>
      </c>
      <c r="D123" s="375">
        <v>5891805</v>
      </c>
      <c r="E123" s="371">
        <f t="shared" si="7"/>
        <v>84.695886852210279</v>
      </c>
      <c r="F123" s="432">
        <v>60003100417</v>
      </c>
    </row>
    <row r="124" spans="1:6" ht="14.25" customHeight="1" x14ac:dyDescent="0.2">
      <c r="A124" s="427" t="s">
        <v>105</v>
      </c>
      <c r="B124" s="370">
        <v>0</v>
      </c>
      <c r="C124" s="375">
        <v>90576</v>
      </c>
      <c r="D124" s="375">
        <v>90576</v>
      </c>
      <c r="E124" s="371">
        <f t="shared" si="7"/>
        <v>100</v>
      </c>
      <c r="F124" s="432">
        <v>60003100422</v>
      </c>
    </row>
    <row r="125" spans="1:6" ht="14.25" customHeight="1" x14ac:dyDescent="0.2">
      <c r="A125" s="427" t="s">
        <v>284</v>
      </c>
      <c r="B125" s="370">
        <v>829000</v>
      </c>
      <c r="C125" s="375">
        <v>0</v>
      </c>
      <c r="D125" s="375">
        <v>0</v>
      </c>
      <c r="E125" s="371">
        <v>0</v>
      </c>
      <c r="F125" s="432">
        <v>60003100637</v>
      </c>
    </row>
    <row r="126" spans="1:6" ht="14.25" customHeight="1" x14ac:dyDescent="0.2">
      <c r="A126" s="427" t="s">
        <v>106</v>
      </c>
      <c r="B126" s="370">
        <v>0</v>
      </c>
      <c r="C126" s="375">
        <v>9680</v>
      </c>
      <c r="D126" s="375">
        <v>9680</v>
      </c>
      <c r="E126" s="371">
        <f t="shared" si="7"/>
        <v>100</v>
      </c>
      <c r="F126" s="432">
        <v>60003100768</v>
      </c>
    </row>
    <row r="127" spans="1:6" ht="28.5" customHeight="1" x14ac:dyDescent="0.2">
      <c r="A127" s="427" t="s">
        <v>285</v>
      </c>
      <c r="B127" s="370">
        <v>0</v>
      </c>
      <c r="C127" s="375">
        <v>14185</v>
      </c>
      <c r="D127" s="375">
        <v>14185</v>
      </c>
      <c r="E127" s="371">
        <f t="shared" si="7"/>
        <v>100</v>
      </c>
      <c r="F127" s="432">
        <v>60003100769</v>
      </c>
    </row>
    <row r="128" spans="1:6" ht="14.25" customHeight="1" x14ac:dyDescent="0.2">
      <c r="A128" s="428" t="s">
        <v>107</v>
      </c>
      <c r="B128" s="370">
        <v>2080000</v>
      </c>
      <c r="C128" s="375">
        <v>4577500</v>
      </c>
      <c r="D128" s="375">
        <v>4475291.67</v>
      </c>
      <c r="E128" s="371">
        <f t="shared" si="7"/>
        <v>97.767158274167116</v>
      </c>
      <c r="F128" s="433">
        <v>60003100771</v>
      </c>
    </row>
    <row r="129" spans="1:6" ht="14.25" customHeight="1" thickBot="1" x14ac:dyDescent="0.3">
      <c r="A129" s="429" t="s">
        <v>286</v>
      </c>
      <c r="B129" s="372">
        <v>0</v>
      </c>
      <c r="C129" s="430">
        <v>1539640</v>
      </c>
      <c r="D129" s="430">
        <v>1539556</v>
      </c>
      <c r="E129" s="373">
        <f t="shared" ref="E129" si="8">D129/C129*100</f>
        <v>99.994544179158765</v>
      </c>
      <c r="F129" s="433">
        <v>60003100857</v>
      </c>
    </row>
    <row r="130" spans="1:6" ht="13.5" thickTop="1" x14ac:dyDescent="0.2">
      <c r="A130" s="241"/>
      <c r="B130" s="229"/>
      <c r="C130" s="229"/>
      <c r="D130" s="230"/>
      <c r="E130" s="231"/>
      <c r="F130" s="7"/>
    </row>
    <row r="131" spans="1:6" ht="18.75" thickBot="1" x14ac:dyDescent="0.3">
      <c r="A131" s="35" t="s">
        <v>30</v>
      </c>
      <c r="B131" s="205">
        <f>SUM(B122)</f>
        <v>8250000</v>
      </c>
      <c r="C131" s="205">
        <f>SUM(C122)</f>
        <v>13188005</v>
      </c>
      <c r="D131" s="205">
        <f>SUM(D122)</f>
        <v>12021093.67</v>
      </c>
      <c r="E131" s="225">
        <f>D131/C131*100</f>
        <v>91.151722114148427</v>
      </c>
      <c r="F131" s="2"/>
    </row>
    <row r="132" spans="1:6" s="18" customFormat="1" ht="18.75" customHeight="1" thickTop="1" x14ac:dyDescent="0.2">
      <c r="A132" s="241"/>
      <c r="B132" s="229"/>
      <c r="C132" s="229"/>
      <c r="D132" s="230"/>
      <c r="E132" s="231"/>
    </row>
    <row r="133" spans="1:6" s="18" customFormat="1" ht="18" x14ac:dyDescent="0.25">
      <c r="A133" s="13" t="s">
        <v>33</v>
      </c>
      <c r="B133" s="21"/>
      <c r="C133" s="21"/>
      <c r="D133" s="21"/>
      <c r="E133" s="198"/>
    </row>
    <row r="134" spans="1:6" ht="15.75" thickBot="1" x14ac:dyDescent="0.3">
      <c r="A134" s="14" t="s">
        <v>25</v>
      </c>
      <c r="B134" s="224"/>
      <c r="C134" s="224"/>
      <c r="D134" s="224"/>
      <c r="E134" s="198" t="s">
        <v>18</v>
      </c>
      <c r="F134" s="1"/>
    </row>
    <row r="135" spans="1:6" ht="14.25" thickTop="1" thickBot="1" x14ac:dyDescent="0.25">
      <c r="A135" s="12" t="s">
        <v>5</v>
      </c>
      <c r="B135" s="199" t="s">
        <v>0</v>
      </c>
      <c r="C135" s="200" t="s">
        <v>1</v>
      </c>
      <c r="D135" s="201" t="s">
        <v>4</v>
      </c>
      <c r="E135" s="185" t="s">
        <v>6</v>
      </c>
      <c r="F135" s="439"/>
    </row>
    <row r="136" spans="1:6" ht="15.75" thickTop="1" x14ac:dyDescent="0.2">
      <c r="A136" s="69" t="s">
        <v>10</v>
      </c>
      <c r="B136" s="247">
        <f>SUM(B137:B141)</f>
        <v>8000000</v>
      </c>
      <c r="C136" s="247">
        <f>SUM(C137:C141)</f>
        <v>11023640.59</v>
      </c>
      <c r="D136" s="247">
        <f>SUM(D137:D141)</f>
        <v>10907890.58</v>
      </c>
      <c r="E136" s="388">
        <f t="shared" ref="E136:E141" si="9">D136/C136*100</f>
        <v>98.949983818367585</v>
      </c>
      <c r="F136" s="431"/>
    </row>
    <row r="137" spans="1:6" ht="25.5" x14ac:dyDescent="0.2">
      <c r="A137" s="435" t="s">
        <v>287</v>
      </c>
      <c r="B137" s="367">
        <v>0</v>
      </c>
      <c r="C137" s="375">
        <v>1061073.96</v>
      </c>
      <c r="D137" s="375">
        <v>1057598.6599999999</v>
      </c>
      <c r="E137" s="365">
        <f t="shared" si="9"/>
        <v>99.672473349548596</v>
      </c>
      <c r="F137" s="437">
        <v>60005100432</v>
      </c>
    </row>
    <row r="138" spans="1:6" ht="25.5" x14ac:dyDescent="0.2">
      <c r="A138" s="435" t="s">
        <v>122</v>
      </c>
      <c r="B138" s="367">
        <v>0</v>
      </c>
      <c r="C138" s="375">
        <v>124591.63</v>
      </c>
      <c r="D138" s="375">
        <v>120713.23</v>
      </c>
      <c r="E138" s="365">
        <f t="shared" si="9"/>
        <v>96.887110313911123</v>
      </c>
      <c r="F138" s="437">
        <v>60005100653</v>
      </c>
    </row>
    <row r="139" spans="1:6" ht="25.5" x14ac:dyDescent="0.2">
      <c r="A139" s="436" t="s">
        <v>108</v>
      </c>
      <c r="B139" s="367">
        <v>8000000</v>
      </c>
      <c r="C139" s="376">
        <v>8600000</v>
      </c>
      <c r="D139" s="375">
        <v>8569850</v>
      </c>
      <c r="E139" s="365">
        <f t="shared" si="9"/>
        <v>99.64941860465116</v>
      </c>
      <c r="F139" s="433">
        <v>60005100783</v>
      </c>
    </row>
    <row r="140" spans="1:6" ht="30" x14ac:dyDescent="0.25">
      <c r="A140" s="397" t="s">
        <v>288</v>
      </c>
      <c r="B140" s="367">
        <v>0</v>
      </c>
      <c r="C140" s="375">
        <v>78045</v>
      </c>
      <c r="D140" s="375">
        <v>60500</v>
      </c>
      <c r="E140" s="365">
        <f t="shared" si="9"/>
        <v>77.51937984496125</v>
      </c>
      <c r="F140" s="438" t="s">
        <v>290</v>
      </c>
    </row>
    <row r="141" spans="1:6" ht="30.75" thickBot="1" x14ac:dyDescent="0.3">
      <c r="A141" s="398" t="s">
        <v>289</v>
      </c>
      <c r="B141" s="368">
        <v>0</v>
      </c>
      <c r="C141" s="430">
        <v>1159930</v>
      </c>
      <c r="D141" s="430">
        <v>1099228.69</v>
      </c>
      <c r="E141" s="369">
        <f t="shared" si="9"/>
        <v>94.766812652487644</v>
      </c>
      <c r="F141" s="438" t="s">
        <v>291</v>
      </c>
    </row>
    <row r="142" spans="1:6" ht="13.5" thickTop="1" x14ac:dyDescent="0.2">
      <c r="A142" s="267"/>
      <c r="B142" s="268"/>
      <c r="C142" s="268"/>
      <c r="D142" s="269"/>
      <c r="E142" s="258"/>
      <c r="F142" s="10"/>
    </row>
    <row r="143" spans="1:6" s="18" customFormat="1" ht="15.75" thickBot="1" x14ac:dyDescent="0.3">
      <c r="A143" s="14" t="s">
        <v>26</v>
      </c>
      <c r="B143" s="224"/>
      <c r="C143" s="224"/>
      <c r="D143" s="224"/>
      <c r="E143" s="198" t="s">
        <v>18</v>
      </c>
    </row>
    <row r="144" spans="1:6" ht="14.25" thickTop="1" thickBot="1" x14ac:dyDescent="0.25">
      <c r="A144" s="12" t="s">
        <v>5</v>
      </c>
      <c r="B144" s="199" t="s">
        <v>0</v>
      </c>
      <c r="C144" s="200" t="s">
        <v>1</v>
      </c>
      <c r="D144" s="201" t="s">
        <v>4</v>
      </c>
      <c r="E144" s="185" t="s">
        <v>6</v>
      </c>
      <c r="F144" s="1"/>
    </row>
    <row r="145" spans="1:6" ht="15.75" thickTop="1" x14ac:dyDescent="0.25">
      <c r="A145" s="243" t="s">
        <v>10</v>
      </c>
      <c r="B145" s="247">
        <f>SUM(B146:B147)</f>
        <v>0</v>
      </c>
      <c r="C145" s="247">
        <f>SUM(C146:C147)</f>
        <v>3550000</v>
      </c>
      <c r="D145" s="247">
        <f>SUM(D146:D147)</f>
        <v>3550000</v>
      </c>
      <c r="E145" s="248">
        <f t="shared" ref="E145:E147" si="10">D145/C145*100</f>
        <v>100</v>
      </c>
      <c r="F145" s="440"/>
    </row>
    <row r="146" spans="1:6" s="3" customFormat="1" x14ac:dyDescent="0.2">
      <c r="A146" s="434" t="s">
        <v>109</v>
      </c>
      <c r="B146" s="360">
        <v>0</v>
      </c>
      <c r="C146" s="253">
        <v>700000</v>
      </c>
      <c r="D146" s="355">
        <v>700000</v>
      </c>
      <c r="E146" s="361">
        <f t="shared" si="10"/>
        <v>100</v>
      </c>
      <c r="F146" s="441" t="s">
        <v>111</v>
      </c>
    </row>
    <row r="147" spans="1:6" s="3" customFormat="1" ht="13.5" thickBot="1" x14ac:dyDescent="0.25">
      <c r="A147" s="434" t="s">
        <v>110</v>
      </c>
      <c r="B147" s="360">
        <v>0</v>
      </c>
      <c r="C147" s="253">
        <v>2850000</v>
      </c>
      <c r="D147" s="355">
        <v>2850000</v>
      </c>
      <c r="E147" s="361">
        <f t="shared" si="10"/>
        <v>100</v>
      </c>
      <c r="F147" s="441">
        <v>60005001704</v>
      </c>
    </row>
    <row r="148" spans="1:6" s="3" customFormat="1" ht="13.5" thickTop="1" x14ac:dyDescent="0.2">
      <c r="A148" s="271"/>
      <c r="B148" s="256"/>
      <c r="C148" s="256"/>
      <c r="D148" s="257"/>
      <c r="E148" s="258"/>
      <c r="F148" s="270"/>
    </row>
    <row r="149" spans="1:6" ht="18.75" thickBot="1" x14ac:dyDescent="0.3">
      <c r="A149" s="35" t="s">
        <v>31</v>
      </c>
      <c r="B149" s="205">
        <f>B136+B145</f>
        <v>8000000</v>
      </c>
      <c r="C149" s="205">
        <f>C136+C145</f>
        <v>14573640.59</v>
      </c>
      <c r="D149" s="205">
        <f>D136+D145</f>
        <v>14457890.58</v>
      </c>
      <c r="E149" s="225">
        <f>D149/C149*100</f>
        <v>99.205757756374041</v>
      </c>
      <c r="F149" s="1"/>
    </row>
    <row r="150" spans="1:6" ht="13.5" thickTop="1" x14ac:dyDescent="0.2">
      <c r="A150" s="8"/>
      <c r="B150" s="11"/>
      <c r="C150" s="11"/>
      <c r="D150" s="11"/>
      <c r="E150" s="11"/>
      <c r="F150" s="1"/>
    </row>
    <row r="151" spans="1:6" x14ac:dyDescent="0.2">
      <c r="A151" s="8"/>
      <c r="B151" s="11"/>
      <c r="C151" s="11"/>
      <c r="D151" s="11"/>
      <c r="E151" s="11"/>
      <c r="F151" s="1"/>
    </row>
    <row r="152" spans="1:6" s="18" customFormat="1" ht="18" x14ac:dyDescent="0.25">
      <c r="A152" s="13" t="s">
        <v>113</v>
      </c>
      <c r="B152" s="21"/>
      <c r="C152" s="21"/>
      <c r="D152" s="21"/>
      <c r="E152" s="198"/>
    </row>
    <row r="153" spans="1:6" ht="15.75" thickBot="1" x14ac:dyDescent="0.3">
      <c r="A153" s="14" t="s">
        <v>294</v>
      </c>
      <c r="B153" s="224"/>
      <c r="C153" s="224"/>
      <c r="D153" s="224"/>
      <c r="E153" s="198" t="s">
        <v>18</v>
      </c>
      <c r="F153" s="1"/>
    </row>
    <row r="154" spans="1:6" ht="14.25" thickTop="1" thickBot="1" x14ac:dyDescent="0.25">
      <c r="A154" s="12" t="s">
        <v>5</v>
      </c>
      <c r="B154" s="199" t="s">
        <v>0</v>
      </c>
      <c r="C154" s="200" t="s">
        <v>1</v>
      </c>
      <c r="D154" s="201" t="s">
        <v>4</v>
      </c>
      <c r="E154" s="185" t="s">
        <v>6</v>
      </c>
      <c r="F154" s="439"/>
    </row>
    <row r="155" spans="1:6" ht="15.75" thickTop="1" x14ac:dyDescent="0.2">
      <c r="A155" s="69" t="s">
        <v>114</v>
      </c>
      <c r="B155" s="247">
        <f>SUM(B156:B156)</f>
        <v>0</v>
      </c>
      <c r="C155" s="247">
        <f>SUM(C156:C156)</f>
        <v>2896339.49</v>
      </c>
      <c r="D155" s="247">
        <f>SUM(D156:D156)</f>
        <v>2896339.49</v>
      </c>
      <c r="E155" s="388">
        <f t="shared" ref="E155:E156" si="11">D155/C155*100</f>
        <v>100</v>
      </c>
      <c r="F155" s="444"/>
    </row>
    <row r="156" spans="1:6" ht="13.5" thickBot="1" x14ac:dyDescent="0.25">
      <c r="A156" s="445" t="s">
        <v>293</v>
      </c>
      <c r="B156" s="368">
        <v>0</v>
      </c>
      <c r="C156" s="430">
        <v>2896339.49</v>
      </c>
      <c r="D156" s="430">
        <v>2896339.49</v>
      </c>
      <c r="E156" s="369">
        <f t="shared" si="11"/>
        <v>100</v>
      </c>
      <c r="F156" s="272">
        <v>60013100835</v>
      </c>
    </row>
    <row r="157" spans="1:6" s="2" customFormat="1" ht="16.5" customHeight="1" thickTop="1" x14ac:dyDescent="0.2">
      <c r="A157" s="442"/>
      <c r="B157" s="68"/>
      <c r="C157" s="266"/>
      <c r="D157" s="266"/>
      <c r="E157" s="443"/>
      <c r="F157" s="7"/>
    </row>
    <row r="158" spans="1:6" ht="22.5" customHeight="1" thickBot="1" x14ac:dyDescent="0.3">
      <c r="A158" s="35" t="s">
        <v>116</v>
      </c>
      <c r="B158" s="205">
        <f>B155</f>
        <v>0</v>
      </c>
      <c r="C158" s="205">
        <f t="shared" ref="C158:D158" si="12">C155</f>
        <v>2896339.49</v>
      </c>
      <c r="D158" s="205">
        <f t="shared" si="12"/>
        <v>2896339.49</v>
      </c>
      <c r="E158" s="225">
        <f>D158/C158*100</f>
        <v>100</v>
      </c>
      <c r="F158" s="1"/>
    </row>
    <row r="159" spans="1:6" ht="13.5" thickTop="1" x14ac:dyDescent="0.2">
      <c r="A159" s="8"/>
      <c r="B159" s="11"/>
      <c r="C159" s="11"/>
      <c r="D159" s="11"/>
      <c r="E159" s="11"/>
      <c r="F159" s="1"/>
    </row>
    <row r="160" spans="1:6" x14ac:dyDescent="0.2">
      <c r="A160" s="8"/>
      <c r="B160" s="11"/>
      <c r="C160" s="11"/>
      <c r="D160" s="11"/>
      <c r="E160" s="11"/>
      <c r="F160" s="1"/>
    </row>
    <row r="161" spans="1:6" ht="14.25" x14ac:dyDescent="0.2">
      <c r="A161" s="15" t="s">
        <v>12</v>
      </c>
      <c r="B161" s="232"/>
      <c r="C161" s="232"/>
      <c r="D161" s="232"/>
      <c r="E161" s="208"/>
      <c r="F161" s="1"/>
    </row>
    <row r="162" spans="1:6" ht="14.25" x14ac:dyDescent="0.2">
      <c r="A162" s="16" t="s">
        <v>16</v>
      </c>
      <c r="B162" s="285">
        <f>SUM(B44)</f>
        <v>15782000</v>
      </c>
      <c r="C162" s="285">
        <f>SUM(C44)</f>
        <v>30442523.809999999</v>
      </c>
      <c r="D162" s="285">
        <f>SUM(D44)</f>
        <v>30385584.09</v>
      </c>
      <c r="E162" s="192">
        <f t="shared" ref="E162:E168" si="13">D162/C162*100</f>
        <v>99.81295992291777</v>
      </c>
      <c r="F162" s="1"/>
    </row>
    <row r="163" spans="1:6" ht="14.25" x14ac:dyDescent="0.2">
      <c r="A163" s="16" t="s">
        <v>15</v>
      </c>
      <c r="B163" s="233">
        <f>SUM(B78)</f>
        <v>42971000</v>
      </c>
      <c r="C163" s="233">
        <f>SUM(C78)</f>
        <v>43939369.589999996</v>
      </c>
      <c r="D163" s="233">
        <f>SUM(D78)</f>
        <v>43759285.189999998</v>
      </c>
      <c r="E163" s="192">
        <f>D163/C163*100</f>
        <v>99.590152517707082</v>
      </c>
      <c r="F163" s="1"/>
    </row>
    <row r="164" spans="1:6" ht="14.25" x14ac:dyDescent="0.2">
      <c r="A164" s="16" t="s">
        <v>13</v>
      </c>
      <c r="B164" s="233">
        <f>SUM(B115)</f>
        <v>10365000</v>
      </c>
      <c r="C164" s="233">
        <f>SUM(C115)</f>
        <v>11209502.219999999</v>
      </c>
      <c r="D164" s="233">
        <f>SUM(D115)</f>
        <v>10130991.35</v>
      </c>
      <c r="E164" s="192">
        <f>D164/C164*100</f>
        <v>90.378601575405199</v>
      </c>
      <c r="F164" s="1"/>
    </row>
    <row r="165" spans="1:6" ht="14.25" x14ac:dyDescent="0.2">
      <c r="A165" s="16" t="s">
        <v>17</v>
      </c>
      <c r="B165" s="233">
        <f>SUM(B131)</f>
        <v>8250000</v>
      </c>
      <c r="C165" s="233">
        <f>SUM(C131)</f>
        <v>13188005</v>
      </c>
      <c r="D165" s="233">
        <f>SUM(D131)</f>
        <v>12021093.67</v>
      </c>
      <c r="E165" s="192">
        <f t="shared" si="13"/>
        <v>91.151722114148427</v>
      </c>
    </row>
    <row r="166" spans="1:6" ht="14.25" x14ac:dyDescent="0.2">
      <c r="A166" s="16" t="s">
        <v>14</v>
      </c>
      <c r="B166" s="233">
        <f>SUM(B149)</f>
        <v>8000000</v>
      </c>
      <c r="C166" s="233">
        <f>SUM(C149)</f>
        <v>14573640.59</v>
      </c>
      <c r="D166" s="233">
        <f>SUM(D149)</f>
        <v>14457890.58</v>
      </c>
      <c r="E166" s="192">
        <f>D166/C166*100</f>
        <v>99.205757756374041</v>
      </c>
    </row>
    <row r="167" spans="1:6" ht="14.25" x14ac:dyDescent="0.2">
      <c r="A167" s="16" t="s">
        <v>115</v>
      </c>
      <c r="B167" s="233">
        <f>B158</f>
        <v>0</v>
      </c>
      <c r="C167" s="233">
        <f>C158</f>
        <v>2896339.49</v>
      </c>
      <c r="D167" s="233">
        <f>D158</f>
        <v>2896339.49</v>
      </c>
      <c r="E167" s="192">
        <f>D167/C167*100</f>
        <v>100</v>
      </c>
    </row>
    <row r="168" spans="1:6" ht="15.75" thickBot="1" x14ac:dyDescent="0.25">
      <c r="A168" s="17" t="s">
        <v>3</v>
      </c>
      <c r="B168" s="210">
        <f>SUM(B162:B167)</f>
        <v>85368000</v>
      </c>
      <c r="C168" s="210">
        <f t="shared" ref="C168:D168" si="14">SUM(C162:C167)</f>
        <v>116249380.69999999</v>
      </c>
      <c r="D168" s="210">
        <f t="shared" si="14"/>
        <v>113651184.36999999</v>
      </c>
      <c r="E168" s="193">
        <f t="shared" si="13"/>
        <v>97.764980497655245</v>
      </c>
    </row>
    <row r="169" spans="1:6" ht="13.5" thickTop="1" x14ac:dyDescent="0.2"/>
    <row r="170" spans="1:6" x14ac:dyDescent="0.2">
      <c r="B170" s="284"/>
      <c r="C170" s="284"/>
      <c r="D170" s="284"/>
    </row>
    <row r="173" spans="1:6" hidden="1" x14ac:dyDescent="0.2">
      <c r="B173" s="30"/>
      <c r="C173" s="287">
        <v>2013</v>
      </c>
      <c r="D173" s="30"/>
    </row>
    <row r="174" spans="1:6" hidden="1" x14ac:dyDescent="0.2">
      <c r="A174" s="28"/>
      <c r="B174" s="30">
        <v>8115</v>
      </c>
      <c r="C174" s="29">
        <v>80000000</v>
      </c>
      <c r="D174" s="30"/>
    </row>
    <row r="175" spans="1:6" hidden="1" x14ac:dyDescent="0.2">
      <c r="A175" s="28"/>
      <c r="B175" s="30">
        <v>8123</v>
      </c>
      <c r="C175" s="29">
        <v>5368000</v>
      </c>
      <c r="D175" s="30"/>
    </row>
    <row r="176" spans="1:6" hidden="1" x14ac:dyDescent="0.2">
      <c r="A176" s="30"/>
      <c r="B176" s="28" t="s">
        <v>190</v>
      </c>
      <c r="C176" s="29">
        <v>64.22</v>
      </c>
      <c r="D176" s="30"/>
    </row>
    <row r="177" spans="1:5" hidden="1" x14ac:dyDescent="0.2">
      <c r="A177" s="30"/>
      <c r="B177" s="30"/>
      <c r="C177" s="30"/>
      <c r="D177" s="30"/>
    </row>
    <row r="178" spans="1:5" hidden="1" x14ac:dyDescent="0.2">
      <c r="A178" s="30"/>
      <c r="B178" s="30"/>
      <c r="C178" s="30"/>
      <c r="D178" s="30"/>
    </row>
    <row r="179" spans="1:5" hidden="1" x14ac:dyDescent="0.2">
      <c r="A179" s="31"/>
      <c r="B179" s="288" t="s">
        <v>191</v>
      </c>
      <c r="C179" s="289">
        <f>SUM(C180:C185)</f>
        <v>31100846.479999959</v>
      </c>
      <c r="D179" s="290" t="s">
        <v>192</v>
      </c>
      <c r="E179" s="237"/>
    </row>
    <row r="180" spans="1:5" hidden="1" x14ac:dyDescent="0.2">
      <c r="A180" s="28"/>
      <c r="B180" s="291" t="s">
        <v>193</v>
      </c>
      <c r="C180" s="292">
        <v>66118497.020000003</v>
      </c>
      <c r="D180" s="290"/>
      <c r="E180" s="237"/>
    </row>
    <row r="181" spans="1:5" hidden="1" x14ac:dyDescent="0.2">
      <c r="A181" s="28"/>
      <c r="B181" s="291" t="s">
        <v>194</v>
      </c>
      <c r="C181" s="292">
        <v>238381000</v>
      </c>
      <c r="D181" s="290"/>
    </row>
    <row r="182" spans="1:5" hidden="1" x14ac:dyDescent="0.2">
      <c r="A182" s="28"/>
      <c r="B182" s="291" t="s">
        <v>195</v>
      </c>
      <c r="C182" s="292">
        <v>3761944.2</v>
      </c>
      <c r="D182" s="290" t="s">
        <v>196</v>
      </c>
    </row>
    <row r="183" spans="1:5" hidden="1" x14ac:dyDescent="0.2">
      <c r="A183" s="28"/>
      <c r="B183" s="291" t="s">
        <v>195</v>
      </c>
      <c r="C183" s="292">
        <v>513420</v>
      </c>
      <c r="D183" s="290" t="s">
        <v>197</v>
      </c>
    </row>
    <row r="184" spans="1:5" hidden="1" x14ac:dyDescent="0.2">
      <c r="A184" s="28"/>
      <c r="B184" s="291" t="s">
        <v>198</v>
      </c>
      <c r="C184" s="293">
        <v>-197674014.74000001</v>
      </c>
      <c r="D184" s="290"/>
    </row>
    <row r="185" spans="1:5" hidden="1" x14ac:dyDescent="0.2">
      <c r="A185" s="28"/>
      <c r="B185" s="291" t="s">
        <v>199</v>
      </c>
      <c r="C185" s="292">
        <v>-80000000</v>
      </c>
      <c r="D185" s="290"/>
    </row>
    <row r="186" spans="1:5" hidden="1" x14ac:dyDescent="0.2">
      <c r="A186" s="28"/>
      <c r="B186" s="294" t="s">
        <v>200</v>
      </c>
      <c r="C186" s="29"/>
      <c r="D186" s="30"/>
    </row>
    <row r="187" spans="1:5" hidden="1" x14ac:dyDescent="0.2"/>
    <row r="188" spans="1:5" hidden="1" x14ac:dyDescent="0.2"/>
    <row r="189" spans="1:5" hidden="1" x14ac:dyDescent="0.2">
      <c r="A189" s="295">
        <v>41302</v>
      </c>
      <c r="B189" s="296" t="s">
        <v>201</v>
      </c>
      <c r="C189" s="297">
        <v>31100846.48</v>
      </c>
    </row>
    <row r="190" spans="1:5" hidden="1" x14ac:dyDescent="0.2">
      <c r="C190" s="298">
        <f>-C184</f>
        <v>197674014.74000001</v>
      </c>
      <c r="D190" s="301" t="s">
        <v>203</v>
      </c>
    </row>
    <row r="191" spans="1:5" hidden="1" x14ac:dyDescent="0.2">
      <c r="C191" s="298">
        <f>-D168</f>
        <v>-113651184.36999999</v>
      </c>
      <c r="D191" s="301" t="s">
        <v>204</v>
      </c>
    </row>
    <row r="192" spans="1:5" hidden="1" x14ac:dyDescent="0.2">
      <c r="B192" s="300" t="s">
        <v>202</v>
      </c>
      <c r="C192" s="299">
        <f>SUM(C189:C191)</f>
        <v>115123676.85000001</v>
      </c>
    </row>
    <row r="193" hidden="1" x14ac:dyDescent="0.2"/>
  </sheetData>
  <phoneticPr fontId="5" type="noConversion"/>
  <pageMargins left="0.78740157480314965" right="0.78740157480314965" top="0.98425196850393704" bottom="0.98425196850393704" header="0.51181102362204722" footer="0.51181102362204722"/>
  <pageSetup paperSize="9" scale="64" firstPageNumber="189" fitToHeight="6" orientation="portrait" useFirstPageNumber="1" r:id="rId1"/>
  <headerFooter alignWithMargins="0">
    <oddFooter>&amp;L&amp;"Arial,Kurzíva"Zastupitelstvo Olomouckého kraje 20.6.2014
5.2. - Závěrečný účet Olomouckého kraje za rok 2013
Příloha č. 8: Přehled financování investičních akcí v roce 2013&amp;R&amp;"Arial,Kurzíva"Strana &amp;P (celkem 480)</oddFooter>
  </headerFooter>
  <rowBreaks count="2" manualBreakCount="2">
    <brk id="48" max="4" man="1"/>
    <brk id="118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75"/>
  <sheetViews>
    <sheetView showGridLines="0" view="pageBreakPreview" topLeftCell="A240" zoomScaleNormal="100" zoomScaleSheetLayoutView="100" workbookViewId="0">
      <selection activeCell="G19" sqref="G19"/>
    </sheetView>
  </sheetViews>
  <sheetFormatPr defaultRowHeight="12.75" x14ac:dyDescent="0.2"/>
  <cols>
    <col min="1" max="1" width="77.7109375" style="30" customWidth="1"/>
    <col min="2" max="2" width="17.140625" style="30" customWidth="1"/>
    <col min="3" max="3" width="16.85546875" style="30" customWidth="1"/>
    <col min="4" max="4" width="16.140625" style="30" bestFit="1" customWidth="1"/>
    <col min="5" max="5" width="7.5703125" style="78" customWidth="1"/>
    <col min="6" max="6" width="12.42578125" style="155" bestFit="1" customWidth="1"/>
    <col min="7" max="7" width="19.140625" style="79" customWidth="1"/>
    <col min="8" max="8" width="13.140625" style="79" customWidth="1"/>
    <col min="9" max="9" width="18.42578125" style="30" customWidth="1"/>
    <col min="10" max="10" width="17.42578125" style="30" customWidth="1"/>
    <col min="11" max="11" width="18.5703125" style="30" customWidth="1"/>
    <col min="12" max="16384" width="9.140625" style="30"/>
  </cols>
  <sheetData>
    <row r="1" spans="1:11" s="73" customFormat="1" ht="18" x14ac:dyDescent="0.25">
      <c r="A1" s="70" t="s">
        <v>234</v>
      </c>
      <c r="B1" s="70"/>
      <c r="C1" s="70"/>
      <c r="D1" s="70"/>
      <c r="E1" s="70"/>
      <c r="F1" s="154"/>
      <c r="G1" s="71"/>
      <c r="H1" s="72"/>
    </row>
    <row r="2" spans="1:11" s="76" customFormat="1" ht="15.75" x14ac:dyDescent="0.25">
      <c r="A2" s="74" t="s">
        <v>103</v>
      </c>
      <c r="B2" s="75"/>
      <c r="C2" s="75"/>
      <c r="D2" s="75"/>
      <c r="E2" s="75"/>
      <c r="F2" s="154"/>
      <c r="G2" s="71"/>
      <c r="H2" s="72"/>
    </row>
    <row r="3" spans="1:11" ht="12" customHeight="1" x14ac:dyDescent="0.2"/>
    <row r="4" spans="1:11" ht="15" customHeight="1" x14ac:dyDescent="0.25">
      <c r="A4" s="77" t="s">
        <v>24</v>
      </c>
    </row>
    <row r="5" spans="1:11" ht="15.75" thickBot="1" x14ac:dyDescent="0.3">
      <c r="A5" s="80" t="s">
        <v>25</v>
      </c>
      <c r="D5" s="28"/>
      <c r="E5" s="81" t="s">
        <v>18</v>
      </c>
    </row>
    <row r="6" spans="1:11" ht="14.25" thickTop="1" thickBot="1" x14ac:dyDescent="0.25">
      <c r="A6" s="82" t="s">
        <v>5</v>
      </c>
      <c r="B6" s="83" t="s">
        <v>0</v>
      </c>
      <c r="C6" s="84" t="s">
        <v>1</v>
      </c>
      <c r="D6" s="85" t="s">
        <v>4</v>
      </c>
      <c r="E6" s="86" t="s">
        <v>6</v>
      </c>
    </row>
    <row r="7" spans="1:11" ht="15.75" thickTop="1" x14ac:dyDescent="0.25">
      <c r="A7" s="87" t="s">
        <v>7</v>
      </c>
      <c r="B7" s="88">
        <f>SUM(B8:B47)</f>
        <v>19775000</v>
      </c>
      <c r="C7" s="88">
        <f>SUM(C8:C47)</f>
        <v>26530725.210000001</v>
      </c>
      <c r="D7" s="88">
        <f>SUM(D8:D47)</f>
        <v>25131849.050000001</v>
      </c>
      <c r="E7" s="89">
        <f>D7/C7*100</f>
        <v>94.727335385944386</v>
      </c>
      <c r="H7" s="100"/>
      <c r="I7" s="322"/>
      <c r="J7" s="323"/>
      <c r="K7" s="324"/>
    </row>
    <row r="8" spans="1:11" s="92" customFormat="1" x14ac:dyDescent="0.2">
      <c r="A8" s="350" t="s">
        <v>308</v>
      </c>
      <c r="B8" s="341">
        <v>0</v>
      </c>
      <c r="C8" s="354">
        <v>1000</v>
      </c>
      <c r="D8" s="341">
        <v>1000</v>
      </c>
      <c r="E8" s="90">
        <f>D8/C8*100</f>
        <v>100</v>
      </c>
      <c r="F8" s="143">
        <v>100192</v>
      </c>
      <c r="G8" s="275" t="s">
        <v>71</v>
      </c>
      <c r="H8" s="325"/>
      <c r="I8" s="326"/>
      <c r="J8" s="326"/>
      <c r="K8" s="326"/>
    </row>
    <row r="9" spans="1:11" s="150" customFormat="1" ht="25.5" x14ac:dyDescent="0.2">
      <c r="A9" s="350" t="s">
        <v>309</v>
      </c>
      <c r="B9" s="117">
        <v>0</v>
      </c>
      <c r="C9" s="354">
        <v>1000</v>
      </c>
      <c r="D9" s="341">
        <v>1000</v>
      </c>
      <c r="E9" s="90">
        <f t="shared" ref="E9:E41" si="0">D9/C9*100</f>
        <v>100</v>
      </c>
      <c r="F9" s="143">
        <v>100358</v>
      </c>
      <c r="G9" s="275" t="s">
        <v>71</v>
      </c>
      <c r="H9" s="327"/>
      <c r="I9" s="328"/>
      <c r="J9" s="328"/>
      <c r="K9" s="328"/>
    </row>
    <row r="10" spans="1:11" s="150" customFormat="1" x14ac:dyDescent="0.2">
      <c r="A10" s="350" t="s">
        <v>117</v>
      </c>
      <c r="B10" s="341">
        <v>19775000</v>
      </c>
      <c r="C10" s="355">
        <v>21360557</v>
      </c>
      <c r="D10" s="355">
        <v>20620762.18</v>
      </c>
      <c r="E10" s="90">
        <f t="shared" si="0"/>
        <v>96.536631418366099</v>
      </c>
      <c r="F10" s="143">
        <v>100537</v>
      </c>
      <c r="G10" s="275" t="s">
        <v>71</v>
      </c>
      <c r="H10" s="327"/>
      <c r="I10" s="329"/>
      <c r="J10" s="329"/>
      <c r="K10" s="329"/>
    </row>
    <row r="11" spans="1:11" s="150" customFormat="1" ht="25.5" x14ac:dyDescent="0.2">
      <c r="A11" s="94" t="s">
        <v>236</v>
      </c>
      <c r="B11" s="341">
        <v>0</v>
      </c>
      <c r="C11" s="355">
        <v>300000</v>
      </c>
      <c r="D11" s="355">
        <v>299218.25</v>
      </c>
      <c r="E11" s="90">
        <f t="shared" si="0"/>
        <v>99.739416666666671</v>
      </c>
      <c r="F11" s="143">
        <v>100839</v>
      </c>
      <c r="G11" s="275" t="s">
        <v>71</v>
      </c>
      <c r="H11" s="149"/>
    </row>
    <row r="12" spans="1:11" s="150" customFormat="1" x14ac:dyDescent="0.2">
      <c r="A12" s="94" t="s">
        <v>310</v>
      </c>
      <c r="B12" s="341">
        <v>0</v>
      </c>
      <c r="C12" s="359">
        <v>175003.21</v>
      </c>
      <c r="D12" s="359">
        <v>0</v>
      </c>
      <c r="E12" s="90">
        <f t="shared" si="0"/>
        <v>0</v>
      </c>
      <c r="F12" s="143">
        <v>100840</v>
      </c>
      <c r="G12" s="275" t="s">
        <v>71</v>
      </c>
      <c r="H12" s="149"/>
    </row>
    <row r="13" spans="1:11" s="150" customFormat="1" ht="25.5" x14ac:dyDescent="0.2">
      <c r="A13" s="94" t="s">
        <v>311</v>
      </c>
      <c r="B13" s="341">
        <v>0</v>
      </c>
      <c r="C13" s="354">
        <v>325000</v>
      </c>
      <c r="D13" s="355">
        <v>39688</v>
      </c>
      <c r="E13" s="90">
        <f t="shared" si="0"/>
        <v>12.211692307692308</v>
      </c>
      <c r="F13" s="143">
        <v>100841</v>
      </c>
      <c r="G13" s="275" t="s">
        <v>71</v>
      </c>
      <c r="H13" s="149"/>
    </row>
    <row r="14" spans="1:11" s="150" customFormat="1" x14ac:dyDescent="0.2">
      <c r="A14" s="94" t="s">
        <v>312</v>
      </c>
      <c r="B14" s="341">
        <v>0</v>
      </c>
      <c r="C14" s="354">
        <v>90000</v>
      </c>
      <c r="D14" s="355">
        <v>90000</v>
      </c>
      <c r="E14" s="90">
        <f t="shared" si="0"/>
        <v>100</v>
      </c>
      <c r="F14" s="143">
        <v>100842</v>
      </c>
      <c r="G14" s="275" t="s">
        <v>71</v>
      </c>
      <c r="H14" s="149"/>
    </row>
    <row r="15" spans="1:11" s="150" customFormat="1" ht="24" customHeight="1" x14ac:dyDescent="0.2">
      <c r="A15" s="94" t="s">
        <v>129</v>
      </c>
      <c r="B15" s="341">
        <v>0</v>
      </c>
      <c r="C15" s="354">
        <v>10000</v>
      </c>
      <c r="D15" s="355">
        <v>6000</v>
      </c>
      <c r="E15" s="90">
        <f t="shared" si="0"/>
        <v>60</v>
      </c>
      <c r="F15" s="473">
        <v>100087</v>
      </c>
      <c r="G15" s="319" t="s">
        <v>66</v>
      </c>
      <c r="H15" s="149"/>
    </row>
    <row r="16" spans="1:11" s="150" customFormat="1" x14ac:dyDescent="0.2">
      <c r="A16" s="489" t="s">
        <v>130</v>
      </c>
      <c r="B16" s="341">
        <v>0</v>
      </c>
      <c r="C16" s="359">
        <v>147620</v>
      </c>
      <c r="D16" s="359">
        <v>147620</v>
      </c>
      <c r="E16" s="90">
        <f t="shared" si="0"/>
        <v>100</v>
      </c>
      <c r="F16" s="473">
        <v>100134</v>
      </c>
      <c r="G16" s="319" t="s">
        <v>66</v>
      </c>
      <c r="H16" s="149"/>
    </row>
    <row r="17" spans="1:8" s="150" customFormat="1" x14ac:dyDescent="0.2">
      <c r="A17" s="94" t="s">
        <v>136</v>
      </c>
      <c r="B17" s="341">
        <v>0</v>
      </c>
      <c r="C17" s="359">
        <v>147620</v>
      </c>
      <c r="D17" s="359">
        <v>147620</v>
      </c>
      <c r="E17" s="90">
        <f t="shared" si="0"/>
        <v>100</v>
      </c>
      <c r="F17" s="143">
        <v>100463</v>
      </c>
      <c r="G17" s="319" t="s">
        <v>66</v>
      </c>
      <c r="H17" s="149"/>
    </row>
    <row r="18" spans="1:8" s="150" customFormat="1" x14ac:dyDescent="0.2">
      <c r="A18" s="94" t="s">
        <v>137</v>
      </c>
      <c r="B18" s="341">
        <v>0</v>
      </c>
      <c r="C18" s="359">
        <v>213300</v>
      </c>
      <c r="D18" s="359">
        <v>213300</v>
      </c>
      <c r="E18" s="90">
        <f t="shared" si="0"/>
        <v>100</v>
      </c>
      <c r="F18" s="143">
        <v>100465</v>
      </c>
      <c r="G18" s="319" t="s">
        <v>66</v>
      </c>
      <c r="H18" s="149"/>
    </row>
    <row r="19" spans="1:8" s="150" customFormat="1" x14ac:dyDescent="0.2">
      <c r="A19" s="94" t="s">
        <v>138</v>
      </c>
      <c r="B19" s="341">
        <v>0</v>
      </c>
      <c r="C19" s="359">
        <v>136730</v>
      </c>
      <c r="D19" s="359">
        <v>128260</v>
      </c>
      <c r="E19" s="90">
        <f t="shared" si="0"/>
        <v>93.805309734513273</v>
      </c>
      <c r="F19" s="143">
        <v>100469</v>
      </c>
      <c r="G19" s="319" t="s">
        <v>66</v>
      </c>
      <c r="H19" s="149"/>
    </row>
    <row r="20" spans="1:8" s="150" customFormat="1" x14ac:dyDescent="0.2">
      <c r="A20" s="94" t="s">
        <v>225</v>
      </c>
      <c r="B20" s="341">
        <v>0</v>
      </c>
      <c r="C20" s="359">
        <v>331298</v>
      </c>
      <c r="D20" s="359">
        <v>331297.5</v>
      </c>
      <c r="E20" s="90">
        <f t="shared" si="0"/>
        <v>99.999849078473162</v>
      </c>
      <c r="F20" s="143">
        <v>100473</v>
      </c>
      <c r="G20" s="319" t="s">
        <v>66</v>
      </c>
      <c r="H20" s="149"/>
    </row>
    <row r="21" spans="1:8" s="150" customFormat="1" x14ac:dyDescent="0.2">
      <c r="A21" s="94" t="s">
        <v>296</v>
      </c>
      <c r="B21" s="341">
        <v>0</v>
      </c>
      <c r="C21" s="359">
        <v>154588</v>
      </c>
      <c r="D21" s="359">
        <v>130388</v>
      </c>
      <c r="E21" s="90">
        <f t="shared" si="0"/>
        <v>84.34548606618884</v>
      </c>
      <c r="F21" s="143">
        <v>100509</v>
      </c>
      <c r="G21" s="319" t="s">
        <v>66</v>
      </c>
      <c r="H21" s="149"/>
    </row>
    <row r="22" spans="1:8" s="150" customFormat="1" x14ac:dyDescent="0.2">
      <c r="A22" s="94" t="s">
        <v>131</v>
      </c>
      <c r="B22" s="341">
        <v>0</v>
      </c>
      <c r="C22" s="359">
        <v>90750</v>
      </c>
      <c r="D22" s="359">
        <v>84700</v>
      </c>
      <c r="E22" s="90">
        <f t="shared" si="0"/>
        <v>93.333333333333329</v>
      </c>
      <c r="F22" s="143">
        <v>100510</v>
      </c>
      <c r="G22" s="319" t="s">
        <v>66</v>
      </c>
      <c r="H22" s="149"/>
    </row>
    <row r="23" spans="1:8" s="150" customFormat="1" x14ac:dyDescent="0.2">
      <c r="A23" s="94" t="s">
        <v>139</v>
      </c>
      <c r="B23" s="341">
        <v>0</v>
      </c>
      <c r="C23" s="359">
        <v>94675</v>
      </c>
      <c r="D23" s="359">
        <v>89687.62</v>
      </c>
      <c r="E23" s="90">
        <f t="shared" si="0"/>
        <v>94.732104568259828</v>
      </c>
      <c r="F23" s="143">
        <v>100511</v>
      </c>
      <c r="G23" s="319" t="s">
        <v>66</v>
      </c>
      <c r="H23" s="149"/>
    </row>
    <row r="24" spans="1:8" s="150" customFormat="1" x14ac:dyDescent="0.2">
      <c r="A24" s="94" t="s">
        <v>140</v>
      </c>
      <c r="B24" s="341">
        <v>0</v>
      </c>
      <c r="C24" s="359">
        <v>242000</v>
      </c>
      <c r="D24" s="359">
        <v>242000</v>
      </c>
      <c r="E24" s="90">
        <f t="shared" si="0"/>
        <v>100</v>
      </c>
      <c r="F24" s="143">
        <v>100512</v>
      </c>
      <c r="G24" s="319" t="s">
        <v>66</v>
      </c>
      <c r="H24" s="149"/>
    </row>
    <row r="25" spans="1:8" s="150" customFormat="1" x14ac:dyDescent="0.2">
      <c r="A25" s="94" t="s">
        <v>141</v>
      </c>
      <c r="B25" s="341">
        <v>0</v>
      </c>
      <c r="C25" s="359">
        <v>124630</v>
      </c>
      <c r="D25" s="359">
        <v>119790</v>
      </c>
      <c r="E25" s="90">
        <f t="shared" si="0"/>
        <v>96.116504854368941</v>
      </c>
      <c r="F25" s="143">
        <v>100513</v>
      </c>
      <c r="G25" s="319" t="s">
        <v>66</v>
      </c>
      <c r="H25" s="149"/>
    </row>
    <row r="26" spans="1:8" s="150" customFormat="1" ht="21.75" customHeight="1" x14ac:dyDescent="0.2">
      <c r="A26" s="94" t="s">
        <v>142</v>
      </c>
      <c r="B26" s="341">
        <v>0</v>
      </c>
      <c r="C26" s="354">
        <v>103528</v>
      </c>
      <c r="D26" s="355">
        <v>86588</v>
      </c>
      <c r="E26" s="90">
        <f t="shared" si="0"/>
        <v>83.63727687195734</v>
      </c>
      <c r="F26" s="143">
        <v>100545</v>
      </c>
      <c r="G26" s="319" t="s">
        <v>66</v>
      </c>
      <c r="H26" s="149"/>
    </row>
    <row r="27" spans="1:8" s="150" customFormat="1" x14ac:dyDescent="0.2">
      <c r="A27" s="94" t="s">
        <v>143</v>
      </c>
      <c r="B27" s="341">
        <v>0</v>
      </c>
      <c r="C27" s="354">
        <v>53475.5</v>
      </c>
      <c r="D27" s="355">
        <v>34559</v>
      </c>
      <c r="E27" s="90">
        <f t="shared" si="0"/>
        <v>64.625856700732115</v>
      </c>
      <c r="F27" s="143">
        <v>100546</v>
      </c>
      <c r="G27" s="319" t="s">
        <v>66</v>
      </c>
      <c r="H27" s="149"/>
    </row>
    <row r="28" spans="1:8" s="150" customFormat="1" x14ac:dyDescent="0.2">
      <c r="A28" s="94" t="s">
        <v>132</v>
      </c>
      <c r="B28" s="341">
        <v>0</v>
      </c>
      <c r="C28" s="354">
        <v>101875.5</v>
      </c>
      <c r="D28" s="355">
        <v>82959</v>
      </c>
      <c r="E28" s="90">
        <f t="shared" si="0"/>
        <v>81.431747574245037</v>
      </c>
      <c r="F28" s="143">
        <v>100547</v>
      </c>
      <c r="G28" s="319" t="s">
        <v>66</v>
      </c>
      <c r="H28" s="149"/>
    </row>
    <row r="29" spans="1:8" s="150" customFormat="1" ht="12.75" customHeight="1" x14ac:dyDescent="0.2">
      <c r="A29" s="94" t="s">
        <v>144</v>
      </c>
      <c r="B29" s="341">
        <v>0</v>
      </c>
      <c r="C29" s="354">
        <v>42350</v>
      </c>
      <c r="D29" s="355">
        <v>36300</v>
      </c>
      <c r="E29" s="90">
        <f t="shared" si="0"/>
        <v>85.714285714285708</v>
      </c>
      <c r="F29" s="143">
        <v>100548</v>
      </c>
      <c r="G29" s="319" t="s">
        <v>66</v>
      </c>
      <c r="H29" s="149"/>
    </row>
    <row r="30" spans="1:8" s="150" customFormat="1" x14ac:dyDescent="0.2">
      <c r="A30" s="94" t="s">
        <v>133</v>
      </c>
      <c r="B30" s="341">
        <v>0</v>
      </c>
      <c r="C30" s="354">
        <v>181710</v>
      </c>
      <c r="D30" s="355">
        <v>179685</v>
      </c>
      <c r="E30" s="90">
        <f t="shared" si="0"/>
        <v>98.885586924219922</v>
      </c>
      <c r="F30" s="143">
        <v>100549</v>
      </c>
      <c r="G30" s="319" t="s">
        <v>66</v>
      </c>
      <c r="H30" s="149"/>
    </row>
    <row r="31" spans="1:8" s="150" customFormat="1" ht="15.75" customHeight="1" x14ac:dyDescent="0.2">
      <c r="A31" s="94" t="s">
        <v>145</v>
      </c>
      <c r="B31" s="341">
        <v>0</v>
      </c>
      <c r="C31" s="354">
        <v>65000</v>
      </c>
      <c r="D31" s="355">
        <v>65000</v>
      </c>
      <c r="E31" s="90">
        <f t="shared" si="0"/>
        <v>100</v>
      </c>
      <c r="F31" s="143">
        <v>100552</v>
      </c>
      <c r="G31" s="319" t="s">
        <v>66</v>
      </c>
      <c r="H31" s="149"/>
    </row>
    <row r="32" spans="1:8" s="150" customFormat="1" ht="25.5" x14ac:dyDescent="0.2">
      <c r="A32" s="94" t="s">
        <v>146</v>
      </c>
      <c r="B32" s="341">
        <v>0</v>
      </c>
      <c r="C32" s="355">
        <v>196625</v>
      </c>
      <c r="D32" s="354">
        <v>190844</v>
      </c>
      <c r="E32" s="90">
        <f t="shared" si="0"/>
        <v>97.059885568976483</v>
      </c>
      <c r="F32" s="143">
        <v>100553</v>
      </c>
      <c r="G32" s="319" t="s">
        <v>66</v>
      </c>
      <c r="H32" s="149"/>
    </row>
    <row r="33" spans="1:8" s="150" customFormat="1" ht="25.5" x14ac:dyDescent="0.2">
      <c r="A33" s="94" t="s">
        <v>147</v>
      </c>
      <c r="B33" s="341">
        <v>0</v>
      </c>
      <c r="C33" s="354">
        <v>69575</v>
      </c>
      <c r="D33" s="355">
        <v>69575</v>
      </c>
      <c r="E33" s="90">
        <f t="shared" si="0"/>
        <v>100</v>
      </c>
      <c r="F33" s="143">
        <v>100554</v>
      </c>
      <c r="G33" s="319" t="s">
        <v>66</v>
      </c>
      <c r="H33" s="149"/>
    </row>
    <row r="34" spans="1:8" s="150" customFormat="1" x14ac:dyDescent="0.2">
      <c r="A34" s="94" t="s">
        <v>148</v>
      </c>
      <c r="B34" s="341">
        <v>0</v>
      </c>
      <c r="C34" s="354">
        <v>133100</v>
      </c>
      <c r="D34" s="355">
        <v>121000</v>
      </c>
      <c r="E34" s="90">
        <f t="shared" si="0"/>
        <v>90.909090909090907</v>
      </c>
      <c r="F34" s="143">
        <v>100559</v>
      </c>
      <c r="G34" s="319" t="s">
        <v>66</v>
      </c>
      <c r="H34" s="149"/>
    </row>
    <row r="35" spans="1:8" s="150" customFormat="1" x14ac:dyDescent="0.2">
      <c r="A35" s="94" t="s">
        <v>149</v>
      </c>
      <c r="B35" s="341">
        <v>0</v>
      </c>
      <c r="C35" s="354">
        <v>117773</v>
      </c>
      <c r="D35" s="355">
        <v>117773</v>
      </c>
      <c r="E35" s="90">
        <f t="shared" si="0"/>
        <v>100</v>
      </c>
      <c r="F35" s="143">
        <v>100561</v>
      </c>
      <c r="G35" s="319" t="s">
        <v>66</v>
      </c>
      <c r="H35" s="149"/>
    </row>
    <row r="36" spans="1:8" s="150" customFormat="1" x14ac:dyDescent="0.2">
      <c r="A36" s="94" t="s">
        <v>150</v>
      </c>
      <c r="B36" s="341">
        <v>0</v>
      </c>
      <c r="C36" s="354">
        <v>106573</v>
      </c>
      <c r="D36" s="355">
        <v>106573</v>
      </c>
      <c r="E36" s="90">
        <f t="shared" si="0"/>
        <v>100</v>
      </c>
      <c r="F36" s="143">
        <v>100562</v>
      </c>
      <c r="G36" s="319" t="s">
        <v>66</v>
      </c>
      <c r="H36" s="149"/>
    </row>
    <row r="37" spans="1:8" s="150" customFormat="1" x14ac:dyDescent="0.2">
      <c r="A37" s="94" t="s">
        <v>151</v>
      </c>
      <c r="B37" s="341">
        <v>0</v>
      </c>
      <c r="C37" s="354">
        <v>84074</v>
      </c>
      <c r="D37" s="355">
        <v>84074</v>
      </c>
      <c r="E37" s="90">
        <f t="shared" si="0"/>
        <v>100</v>
      </c>
      <c r="F37" s="143">
        <v>100563</v>
      </c>
      <c r="G37" s="319" t="s">
        <v>66</v>
      </c>
      <c r="H37" s="149"/>
    </row>
    <row r="38" spans="1:8" s="150" customFormat="1" x14ac:dyDescent="0.2">
      <c r="A38" s="94" t="s">
        <v>134</v>
      </c>
      <c r="B38" s="341">
        <v>0</v>
      </c>
      <c r="C38" s="354">
        <v>31702</v>
      </c>
      <c r="D38" s="355">
        <v>31702</v>
      </c>
      <c r="E38" s="90">
        <f t="shared" si="0"/>
        <v>100</v>
      </c>
      <c r="F38" s="143">
        <v>100573</v>
      </c>
      <c r="G38" s="319" t="s">
        <v>66</v>
      </c>
      <c r="H38" s="149"/>
    </row>
    <row r="39" spans="1:8" s="150" customFormat="1" x14ac:dyDescent="0.2">
      <c r="A39" s="94" t="s">
        <v>135</v>
      </c>
      <c r="B39" s="341">
        <v>0</v>
      </c>
      <c r="C39" s="354">
        <v>1000</v>
      </c>
      <c r="D39" s="355">
        <v>1000</v>
      </c>
      <c r="E39" s="90">
        <f t="shared" si="0"/>
        <v>100</v>
      </c>
      <c r="F39" s="143">
        <v>100575</v>
      </c>
      <c r="G39" s="319" t="s">
        <v>66</v>
      </c>
      <c r="H39" s="149"/>
    </row>
    <row r="40" spans="1:8" s="150" customFormat="1" x14ac:dyDescent="0.2">
      <c r="A40" s="94" t="s">
        <v>152</v>
      </c>
      <c r="B40" s="341">
        <v>0</v>
      </c>
      <c r="C40" s="355">
        <v>140723</v>
      </c>
      <c r="D40" s="355">
        <v>137093</v>
      </c>
      <c r="E40" s="90">
        <f t="shared" si="0"/>
        <v>97.420464316423036</v>
      </c>
      <c r="F40" s="143">
        <v>100694</v>
      </c>
      <c r="G40" s="319" t="s">
        <v>66</v>
      </c>
      <c r="H40" s="149"/>
    </row>
    <row r="41" spans="1:8" s="150" customFormat="1" x14ac:dyDescent="0.2">
      <c r="A41" s="94" t="s">
        <v>153</v>
      </c>
      <c r="B41" s="341">
        <v>0</v>
      </c>
      <c r="C41" s="355">
        <v>63920</v>
      </c>
      <c r="D41" s="355">
        <v>62920</v>
      </c>
      <c r="E41" s="90">
        <f t="shared" si="0"/>
        <v>98.435544430538172</v>
      </c>
      <c r="F41" s="143">
        <v>100792</v>
      </c>
      <c r="G41" s="319" t="s">
        <v>66</v>
      </c>
      <c r="H41" s="149"/>
    </row>
    <row r="42" spans="1:8" s="150" customFormat="1" x14ac:dyDescent="0.2">
      <c r="A42" s="94" t="s">
        <v>155</v>
      </c>
      <c r="B42" s="341">
        <v>0</v>
      </c>
      <c r="C42" s="355">
        <v>55000</v>
      </c>
      <c r="D42" s="355">
        <v>54000</v>
      </c>
      <c r="E42" s="90">
        <f t="shared" ref="E42" si="1">D42/C42*100</f>
        <v>98.181818181818187</v>
      </c>
      <c r="F42" s="143">
        <v>100815</v>
      </c>
      <c r="G42" s="319" t="s">
        <v>66</v>
      </c>
      <c r="H42" s="149"/>
    </row>
    <row r="43" spans="1:8" s="92" customFormat="1" x14ac:dyDescent="0.2">
      <c r="A43" s="94" t="s">
        <v>298</v>
      </c>
      <c r="B43" s="341">
        <v>0</v>
      </c>
      <c r="C43" s="355">
        <v>276122</v>
      </c>
      <c r="D43" s="355">
        <v>275712.5</v>
      </c>
      <c r="E43" s="90">
        <f>D43/C43*100</f>
        <v>99.85169598945393</v>
      </c>
      <c r="F43" s="143">
        <v>100821</v>
      </c>
      <c r="G43" s="319" t="s">
        <v>66</v>
      </c>
      <c r="H43" s="91"/>
    </row>
    <row r="44" spans="1:8" s="92" customFormat="1" x14ac:dyDescent="0.2">
      <c r="A44" s="94" t="s">
        <v>299</v>
      </c>
      <c r="B44" s="341">
        <v>0</v>
      </c>
      <c r="C44" s="355">
        <v>48400</v>
      </c>
      <c r="D44" s="355">
        <v>24200</v>
      </c>
      <c r="E44" s="90">
        <f>D44/C44*100</f>
        <v>50</v>
      </c>
      <c r="F44" s="143">
        <v>100822</v>
      </c>
      <c r="G44" s="319" t="s">
        <v>66</v>
      </c>
      <c r="H44" s="91"/>
    </row>
    <row r="45" spans="1:8" s="92" customFormat="1" x14ac:dyDescent="0.2">
      <c r="A45" s="94" t="s">
        <v>313</v>
      </c>
      <c r="B45" s="341">
        <v>0</v>
      </c>
      <c r="C45" s="355">
        <v>207900</v>
      </c>
      <c r="D45" s="355">
        <v>205700</v>
      </c>
      <c r="E45" s="90">
        <f>D45/C45*100</f>
        <v>98.941798941798936</v>
      </c>
      <c r="F45" s="143">
        <v>100828</v>
      </c>
      <c r="G45" s="319" t="s">
        <v>66</v>
      </c>
      <c r="H45" s="91"/>
    </row>
    <row r="46" spans="1:8" s="92" customFormat="1" x14ac:dyDescent="0.2">
      <c r="A46" s="94" t="s">
        <v>314</v>
      </c>
      <c r="B46" s="341">
        <v>0</v>
      </c>
      <c r="C46" s="355">
        <v>140000</v>
      </c>
      <c r="D46" s="355">
        <v>123780</v>
      </c>
      <c r="E46" s="90">
        <f>D46/C46*100</f>
        <v>88.414285714285711</v>
      </c>
      <c r="F46" s="143">
        <v>100829</v>
      </c>
      <c r="G46" s="319" t="s">
        <v>66</v>
      </c>
      <c r="H46" s="91"/>
    </row>
    <row r="47" spans="1:8" s="92" customFormat="1" ht="13.5" thickBot="1" x14ac:dyDescent="0.25">
      <c r="A47" s="490" t="s">
        <v>315</v>
      </c>
      <c r="B47" s="339">
        <v>0</v>
      </c>
      <c r="C47" s="358">
        <v>364528</v>
      </c>
      <c r="D47" s="358">
        <v>348480</v>
      </c>
      <c r="E47" s="340">
        <f t="shared" ref="E47" si="2">D47/C47*100</f>
        <v>95.597594697800986</v>
      </c>
      <c r="F47" s="143">
        <v>100830</v>
      </c>
      <c r="G47" s="319" t="s">
        <v>66</v>
      </c>
      <c r="H47" s="91"/>
    </row>
    <row r="48" spans="1:8" s="92" customFormat="1" ht="13.5" thickTop="1" x14ac:dyDescent="0.2">
      <c r="A48" s="153"/>
      <c r="B48" s="95"/>
      <c r="C48" s="93"/>
      <c r="D48" s="93"/>
      <c r="E48" s="96"/>
      <c r="F48" s="143"/>
      <c r="G48" s="91"/>
      <c r="H48" s="91"/>
    </row>
    <row r="49" spans="1:8" ht="15.75" thickBot="1" x14ac:dyDescent="0.25">
      <c r="A49" s="101" t="s">
        <v>49</v>
      </c>
      <c r="D49" s="28"/>
      <c r="E49" s="81" t="s">
        <v>18</v>
      </c>
    </row>
    <row r="50" spans="1:8" ht="14.25" thickTop="1" thickBot="1" x14ac:dyDescent="0.25">
      <c r="A50" s="82" t="s">
        <v>5</v>
      </c>
      <c r="B50" s="83" t="s">
        <v>0</v>
      </c>
      <c r="C50" s="84" t="s">
        <v>1</v>
      </c>
      <c r="D50" s="85" t="s">
        <v>4</v>
      </c>
      <c r="E50" s="86" t="s">
        <v>6</v>
      </c>
    </row>
    <row r="51" spans="1:8" ht="15.75" thickTop="1" x14ac:dyDescent="0.2">
      <c r="A51" s="87" t="s">
        <v>7</v>
      </c>
      <c r="B51" s="88">
        <f>SUM(B52:B66)</f>
        <v>0</v>
      </c>
      <c r="C51" s="88">
        <f>SUM(C52:C66)</f>
        <v>4105072.27</v>
      </c>
      <c r="D51" s="88">
        <f>SUM(D52:D66)</f>
        <v>4105072.27</v>
      </c>
      <c r="E51" s="102">
        <f>D51/C51*100</f>
        <v>100</v>
      </c>
      <c r="F51" s="78"/>
    </row>
    <row r="52" spans="1:8" s="104" customFormat="1" x14ac:dyDescent="0.2">
      <c r="A52" s="53" t="s">
        <v>360</v>
      </c>
      <c r="B52" s="343">
        <v>0</v>
      </c>
      <c r="C52" s="343">
        <v>450000</v>
      </c>
      <c r="D52" s="343">
        <v>450000</v>
      </c>
      <c r="E52" s="90">
        <f t="shared" ref="E52:E66" si="3">D52/C52*100</f>
        <v>100</v>
      </c>
      <c r="F52" s="145">
        <v>1127</v>
      </c>
      <c r="G52" s="282" t="s">
        <v>156</v>
      </c>
      <c r="H52" s="103"/>
    </row>
    <row r="53" spans="1:8" s="119" customFormat="1" ht="38.25" x14ac:dyDescent="0.2">
      <c r="A53" s="94" t="s">
        <v>361</v>
      </c>
      <c r="B53" s="341">
        <v>0</v>
      </c>
      <c r="C53" s="341">
        <v>61631</v>
      </c>
      <c r="D53" s="341">
        <v>61631</v>
      </c>
      <c r="E53" s="90">
        <f t="shared" si="3"/>
        <v>100</v>
      </c>
      <c r="F53" s="159">
        <v>1160</v>
      </c>
      <c r="G53" s="282" t="s">
        <v>156</v>
      </c>
      <c r="H53" s="118"/>
    </row>
    <row r="54" spans="1:8" s="104" customFormat="1" x14ac:dyDescent="0.2">
      <c r="A54" s="53" t="s">
        <v>362</v>
      </c>
      <c r="B54" s="341">
        <v>0</v>
      </c>
      <c r="C54" s="341">
        <v>488369</v>
      </c>
      <c r="D54" s="341">
        <v>488369</v>
      </c>
      <c r="E54" s="90">
        <f t="shared" si="3"/>
        <v>100</v>
      </c>
      <c r="F54" s="145">
        <v>1175</v>
      </c>
      <c r="G54" s="282" t="s">
        <v>156</v>
      </c>
      <c r="H54" s="103"/>
    </row>
    <row r="55" spans="1:8" s="104" customFormat="1" ht="25.5" x14ac:dyDescent="0.2">
      <c r="A55" s="356" t="s">
        <v>363</v>
      </c>
      <c r="B55" s="341">
        <v>0</v>
      </c>
      <c r="C55" s="341">
        <v>200000</v>
      </c>
      <c r="D55" s="341">
        <v>200000</v>
      </c>
      <c r="E55" s="90">
        <f t="shared" si="3"/>
        <v>100</v>
      </c>
      <c r="F55" s="145">
        <v>1200</v>
      </c>
      <c r="G55" s="282" t="s">
        <v>156</v>
      </c>
      <c r="H55" s="103"/>
    </row>
    <row r="56" spans="1:8" s="104" customFormat="1" ht="25.5" x14ac:dyDescent="0.2">
      <c r="A56" s="356" t="s">
        <v>364</v>
      </c>
      <c r="B56" s="341">
        <v>0</v>
      </c>
      <c r="C56" s="341">
        <v>225000</v>
      </c>
      <c r="D56" s="341">
        <v>225000</v>
      </c>
      <c r="E56" s="90">
        <f t="shared" si="3"/>
        <v>100</v>
      </c>
      <c r="F56" s="145">
        <v>1202</v>
      </c>
      <c r="G56" s="282" t="s">
        <v>156</v>
      </c>
      <c r="H56" s="103"/>
    </row>
    <row r="57" spans="1:8" s="104" customFormat="1" x14ac:dyDescent="0.2">
      <c r="A57" s="53" t="s">
        <v>365</v>
      </c>
      <c r="B57" s="341">
        <v>0</v>
      </c>
      <c r="C57" s="341">
        <v>210000</v>
      </c>
      <c r="D57" s="341">
        <v>210000</v>
      </c>
      <c r="E57" s="90">
        <f t="shared" si="3"/>
        <v>100</v>
      </c>
      <c r="F57" s="145">
        <v>1216</v>
      </c>
      <c r="G57" s="282" t="s">
        <v>156</v>
      </c>
      <c r="H57" s="103"/>
    </row>
    <row r="58" spans="1:8" s="104" customFormat="1" ht="25.5" x14ac:dyDescent="0.2">
      <c r="A58" s="356" t="s">
        <v>366</v>
      </c>
      <c r="B58" s="341">
        <v>0</v>
      </c>
      <c r="C58" s="341">
        <v>400000</v>
      </c>
      <c r="D58" s="341">
        <v>400000</v>
      </c>
      <c r="E58" s="90">
        <f t="shared" si="3"/>
        <v>100</v>
      </c>
      <c r="F58" s="145">
        <v>1221</v>
      </c>
      <c r="G58" s="282" t="s">
        <v>156</v>
      </c>
      <c r="H58" s="103"/>
    </row>
    <row r="59" spans="1:8" s="104" customFormat="1" x14ac:dyDescent="0.2">
      <c r="A59" s="53" t="s">
        <v>367</v>
      </c>
      <c r="B59" s="341">
        <v>0</v>
      </c>
      <c r="C59" s="341">
        <v>270000</v>
      </c>
      <c r="D59" s="341">
        <v>270000</v>
      </c>
      <c r="E59" s="90">
        <f t="shared" si="3"/>
        <v>100</v>
      </c>
      <c r="F59" s="145">
        <v>1408</v>
      </c>
      <c r="G59" s="282" t="s">
        <v>156</v>
      </c>
      <c r="H59" s="484"/>
    </row>
    <row r="60" spans="1:8" s="104" customFormat="1" ht="25.5" x14ac:dyDescent="0.2">
      <c r="A60" s="356" t="s">
        <v>368</v>
      </c>
      <c r="B60" s="341">
        <v>0</v>
      </c>
      <c r="C60" s="341">
        <v>63000</v>
      </c>
      <c r="D60" s="341">
        <v>63000</v>
      </c>
      <c r="E60" s="90">
        <f t="shared" si="3"/>
        <v>100</v>
      </c>
      <c r="F60" s="145">
        <v>1043</v>
      </c>
      <c r="G60" s="282" t="s">
        <v>156</v>
      </c>
      <c r="H60" s="103"/>
    </row>
    <row r="61" spans="1:8" s="104" customFormat="1" x14ac:dyDescent="0.2">
      <c r="A61" s="53" t="s">
        <v>369</v>
      </c>
      <c r="B61" s="341">
        <v>0</v>
      </c>
      <c r="C61" s="341">
        <v>35000</v>
      </c>
      <c r="D61" s="341">
        <v>35000</v>
      </c>
      <c r="E61" s="90">
        <f t="shared" si="3"/>
        <v>100</v>
      </c>
      <c r="F61" s="145">
        <v>1101</v>
      </c>
      <c r="G61" s="282" t="s">
        <v>156</v>
      </c>
      <c r="H61" s="103"/>
    </row>
    <row r="62" spans="1:8" s="104" customFormat="1" x14ac:dyDescent="0.2">
      <c r="A62" s="53" t="s">
        <v>370</v>
      </c>
      <c r="B62" s="341">
        <v>0</v>
      </c>
      <c r="C62" s="341">
        <v>50000</v>
      </c>
      <c r="D62" s="341">
        <v>50000</v>
      </c>
      <c r="E62" s="90">
        <f t="shared" si="3"/>
        <v>100</v>
      </c>
      <c r="F62" s="145">
        <v>1121</v>
      </c>
      <c r="G62" s="282" t="s">
        <v>156</v>
      </c>
      <c r="H62" s="103"/>
    </row>
    <row r="63" spans="1:8" s="104" customFormat="1" x14ac:dyDescent="0.2">
      <c r="A63" s="53" t="s">
        <v>371</v>
      </c>
      <c r="B63" s="341">
        <v>0</v>
      </c>
      <c r="C63" s="341">
        <v>760000</v>
      </c>
      <c r="D63" s="341">
        <v>760000</v>
      </c>
      <c r="E63" s="90">
        <f t="shared" si="3"/>
        <v>100</v>
      </c>
      <c r="F63" s="145">
        <v>1132</v>
      </c>
      <c r="G63" s="282" t="s">
        <v>156</v>
      </c>
      <c r="H63" s="103"/>
    </row>
    <row r="64" spans="1:8" s="104" customFormat="1" ht="25.5" x14ac:dyDescent="0.2">
      <c r="A64" s="356" t="s">
        <v>372</v>
      </c>
      <c r="B64" s="341">
        <v>0</v>
      </c>
      <c r="C64" s="341">
        <v>52072.27</v>
      </c>
      <c r="D64" s="341">
        <v>52072.27</v>
      </c>
      <c r="E64" s="90">
        <f t="shared" si="3"/>
        <v>100</v>
      </c>
      <c r="F64" s="145">
        <v>1142</v>
      </c>
      <c r="G64" s="282" t="s">
        <v>156</v>
      </c>
      <c r="H64" s="103"/>
    </row>
    <row r="65" spans="1:11" s="104" customFormat="1" ht="12" customHeight="1" x14ac:dyDescent="0.2">
      <c r="A65" s="356" t="s">
        <v>373</v>
      </c>
      <c r="B65" s="341">
        <v>0</v>
      </c>
      <c r="C65" s="341">
        <v>300000</v>
      </c>
      <c r="D65" s="341">
        <v>300000</v>
      </c>
      <c r="E65" s="90">
        <f t="shared" si="3"/>
        <v>100</v>
      </c>
      <c r="F65" s="159">
        <v>1221</v>
      </c>
      <c r="G65" s="282" t="s">
        <v>156</v>
      </c>
      <c r="H65" s="103"/>
    </row>
    <row r="66" spans="1:11" s="119" customFormat="1" ht="26.25" thickBot="1" x14ac:dyDescent="0.25">
      <c r="A66" s="490" t="s">
        <v>403</v>
      </c>
      <c r="B66" s="339">
        <v>0</v>
      </c>
      <c r="C66" s="339">
        <v>540000</v>
      </c>
      <c r="D66" s="339">
        <v>540000</v>
      </c>
      <c r="E66" s="340">
        <f t="shared" si="3"/>
        <v>100</v>
      </c>
      <c r="F66" s="159">
        <v>1221</v>
      </c>
      <c r="G66" s="282" t="s">
        <v>156</v>
      </c>
      <c r="H66" s="118"/>
    </row>
    <row r="67" spans="1:11" s="119" customFormat="1" ht="13.5" thickTop="1" x14ac:dyDescent="0.2">
      <c r="A67" s="491"/>
      <c r="B67" s="262"/>
      <c r="C67" s="262"/>
      <c r="D67" s="262"/>
      <c r="E67" s="96"/>
      <c r="F67" s="159"/>
      <c r="G67" s="282"/>
      <c r="H67" s="118"/>
    </row>
    <row r="68" spans="1:11" s="119" customFormat="1" x14ac:dyDescent="0.2">
      <c r="A68" s="491"/>
      <c r="B68" s="262"/>
      <c r="C68" s="262"/>
      <c r="D68" s="262"/>
      <c r="E68" s="96"/>
      <c r="F68" s="159"/>
      <c r="G68" s="282"/>
      <c r="H68" s="118"/>
    </row>
    <row r="69" spans="1:11" s="119" customFormat="1" x14ac:dyDescent="0.2">
      <c r="A69" s="491"/>
      <c r="B69" s="262"/>
      <c r="C69" s="262"/>
      <c r="D69" s="262"/>
      <c r="E69" s="96"/>
      <c r="F69" s="159"/>
      <c r="G69" s="282"/>
      <c r="H69" s="118"/>
    </row>
    <row r="70" spans="1:11" s="119" customFormat="1" x14ac:dyDescent="0.2">
      <c r="A70" s="491"/>
      <c r="B70" s="262"/>
      <c r="C70" s="262"/>
      <c r="D70" s="262"/>
      <c r="E70" s="96"/>
      <c r="F70" s="159"/>
      <c r="G70" s="282"/>
      <c r="H70" s="118"/>
    </row>
    <row r="71" spans="1:11" x14ac:dyDescent="0.2">
      <c r="A71" s="105"/>
      <c r="B71" s="95"/>
      <c r="C71" s="99"/>
      <c r="D71" s="93"/>
      <c r="E71" s="96"/>
      <c r="F71" s="78"/>
      <c r="H71" s="317"/>
      <c r="I71" s="321"/>
      <c r="J71" s="321"/>
      <c r="K71" s="321"/>
    </row>
    <row r="72" spans="1:11" ht="15" customHeight="1" thickBot="1" x14ac:dyDescent="0.3">
      <c r="A72" s="80" t="s">
        <v>112</v>
      </c>
      <c r="E72" s="81" t="s">
        <v>18</v>
      </c>
      <c r="F72" s="30"/>
      <c r="G72" s="162"/>
      <c r="H72" s="315" t="s">
        <v>157</v>
      </c>
      <c r="I72" s="316">
        <f>B74</f>
        <v>0</v>
      </c>
      <c r="J72" s="316">
        <f t="shared" ref="J72:K72" si="4">C74</f>
        <v>205090</v>
      </c>
      <c r="K72" s="316">
        <f t="shared" si="4"/>
        <v>203090</v>
      </c>
    </row>
    <row r="73" spans="1:11" ht="14.25" thickTop="1" thickBot="1" x14ac:dyDescent="0.25">
      <c r="A73" s="82" t="s">
        <v>5</v>
      </c>
      <c r="B73" s="83" t="s">
        <v>0</v>
      </c>
      <c r="C73" s="84" t="s">
        <v>1</v>
      </c>
      <c r="D73" s="85" t="s">
        <v>4</v>
      </c>
      <c r="E73" s="86" t="s">
        <v>6</v>
      </c>
      <c r="F73" s="30"/>
      <c r="G73" s="162"/>
      <c r="H73" s="275" t="s">
        <v>71</v>
      </c>
      <c r="I73" s="308">
        <f>SUM(B8:B14)</f>
        <v>19775000</v>
      </c>
      <c r="J73" s="308">
        <f>SUM(C8:C14)</f>
        <v>22252560.210000001</v>
      </c>
      <c r="K73" s="308">
        <f>SUM(D8:D14)</f>
        <v>21051668.43</v>
      </c>
    </row>
    <row r="74" spans="1:11" s="139" customFormat="1" ht="15.75" thickTop="1" x14ac:dyDescent="0.2">
      <c r="A74" s="87" t="s">
        <v>7</v>
      </c>
      <c r="B74" s="88">
        <f>SUM(B75:B75)</f>
        <v>0</v>
      </c>
      <c r="C74" s="136">
        <f>SUM(C75:C75)</f>
        <v>205090</v>
      </c>
      <c r="D74" s="88">
        <f>SUM(D75:D75)</f>
        <v>203090</v>
      </c>
      <c r="E74" s="137">
        <f>D74/C74*100</f>
        <v>99.024818372421862</v>
      </c>
      <c r="F74" s="138" t="s">
        <v>2</v>
      </c>
      <c r="G74" s="163"/>
      <c r="H74" s="274" t="s">
        <v>66</v>
      </c>
      <c r="I74" s="309">
        <f>SUM(B15:B47)</f>
        <v>0</v>
      </c>
      <c r="J74" s="309">
        <f>SUM(C15:C47)</f>
        <v>4278165</v>
      </c>
      <c r="K74" s="309">
        <f>SUM(D15:D47)</f>
        <v>4080180.62</v>
      </c>
    </row>
    <row r="75" spans="1:11" s="139" customFormat="1" ht="39" thickBot="1" x14ac:dyDescent="0.25">
      <c r="A75" s="338" t="s">
        <v>401</v>
      </c>
      <c r="B75" s="339">
        <v>0</v>
      </c>
      <c r="C75" s="342">
        <v>205090</v>
      </c>
      <c r="D75" s="339">
        <v>203090</v>
      </c>
      <c r="E75" s="340">
        <f>D75/C75*100</f>
        <v>99.024818372421862</v>
      </c>
      <c r="F75" s="265"/>
      <c r="G75" s="513" t="s">
        <v>157</v>
      </c>
      <c r="H75" s="282" t="s">
        <v>126</v>
      </c>
      <c r="I75" s="310">
        <f>B51</f>
        <v>0</v>
      </c>
      <c r="J75" s="310">
        <f>C51</f>
        <v>4105072.27</v>
      </c>
      <c r="K75" s="310">
        <f>D51</f>
        <v>4105072.27</v>
      </c>
    </row>
    <row r="76" spans="1:11" s="139" customFormat="1" ht="15.75" thickTop="1" x14ac:dyDescent="0.25">
      <c r="A76" s="260"/>
      <c r="B76" s="95"/>
      <c r="C76" s="95"/>
      <c r="D76" s="262"/>
      <c r="E76" s="96"/>
      <c r="F76" s="265"/>
      <c r="G76" s="163"/>
      <c r="H76" s="18"/>
      <c r="I76" s="307">
        <f>SUM(I71:I75)</f>
        <v>19775000</v>
      </c>
      <c r="J76" s="307">
        <f>SUM(J71:J75)</f>
        <v>30840887.48</v>
      </c>
      <c r="K76" s="307">
        <f>SUM(K71:K75)</f>
        <v>29440011.32</v>
      </c>
    </row>
    <row r="77" spans="1:11" s="139" customFormat="1" ht="15" x14ac:dyDescent="0.25">
      <c r="A77" s="260"/>
      <c r="B77" s="95"/>
      <c r="C77" s="95"/>
      <c r="D77" s="262"/>
      <c r="E77" s="96"/>
      <c r="F77" s="265"/>
      <c r="G77" s="163"/>
      <c r="H77" s="18"/>
      <c r="I77" s="307"/>
      <c r="J77" s="307"/>
      <c r="K77" s="307"/>
    </row>
    <row r="78" spans="1:11" s="139" customFormat="1" ht="15" x14ac:dyDescent="0.25">
      <c r="A78" s="260"/>
      <c r="B78" s="95"/>
      <c r="C78" s="95"/>
      <c r="D78" s="262"/>
      <c r="E78" s="96"/>
      <c r="F78" s="265"/>
      <c r="G78" s="163"/>
      <c r="H78" s="18"/>
      <c r="I78" s="307"/>
      <c r="J78" s="307"/>
      <c r="K78" s="307"/>
    </row>
    <row r="79" spans="1:11" s="37" customFormat="1" ht="18.75" thickBot="1" x14ac:dyDescent="0.3">
      <c r="A79" s="106" t="s">
        <v>27</v>
      </c>
      <c r="B79" s="107">
        <f>SUM(B51,B7,B74)</f>
        <v>19775000</v>
      </c>
      <c r="C79" s="107">
        <f>SUM(C51,C7,C74)</f>
        <v>30840887.48</v>
      </c>
      <c r="D79" s="107">
        <f>SUM(D51,D7,D74)</f>
        <v>29440011.32</v>
      </c>
      <c r="E79" s="108">
        <f>D79/C79*100</f>
        <v>95.457730712488569</v>
      </c>
      <c r="F79" s="176"/>
      <c r="G79" s="109"/>
      <c r="H79" s="109"/>
    </row>
    <row r="80" spans="1:11" ht="13.5" thickTop="1" x14ac:dyDescent="0.2">
      <c r="A80" s="105"/>
      <c r="B80" s="95"/>
      <c r="C80" s="99"/>
      <c r="D80" s="93"/>
      <c r="E80" s="96"/>
      <c r="F80" s="78"/>
    </row>
    <row r="81" spans="1:8" x14ac:dyDescent="0.2">
      <c r="A81" s="105"/>
      <c r="B81" s="95"/>
      <c r="C81" s="99"/>
      <c r="D81" s="93"/>
      <c r="E81" s="96"/>
      <c r="F81" s="78"/>
    </row>
    <row r="82" spans="1:8" ht="18" x14ac:dyDescent="0.25">
      <c r="A82" s="77" t="s">
        <v>46</v>
      </c>
    </row>
    <row r="83" spans="1:8" ht="15" customHeight="1" thickBot="1" x14ac:dyDescent="0.3">
      <c r="A83" s="80" t="s">
        <v>292</v>
      </c>
      <c r="E83" s="81" t="s">
        <v>18</v>
      </c>
    </row>
    <row r="84" spans="1:8" ht="14.25" thickTop="1" thickBot="1" x14ac:dyDescent="0.25">
      <c r="A84" s="82" t="s">
        <v>5</v>
      </c>
      <c r="B84" s="83" t="s">
        <v>0</v>
      </c>
      <c r="C84" s="84" t="s">
        <v>1</v>
      </c>
      <c r="D84" s="85" t="s">
        <v>4</v>
      </c>
      <c r="E84" s="86" t="s">
        <v>6</v>
      </c>
    </row>
    <row r="85" spans="1:8" ht="15.75" thickTop="1" x14ac:dyDescent="0.25">
      <c r="A85" s="87" t="s">
        <v>9</v>
      </c>
      <c r="B85" s="88">
        <f>SUM(B86:B109)</f>
        <v>26753000</v>
      </c>
      <c r="C85" s="88">
        <f>SUM(C86:C109)</f>
        <v>31254841.859999999</v>
      </c>
      <c r="D85" s="88">
        <f>SUM(D86:D109)</f>
        <v>30046679.82</v>
      </c>
      <c r="E85" s="89">
        <f>D85/C85*100</f>
        <v>96.134480393752341</v>
      </c>
      <c r="F85" s="146"/>
    </row>
    <row r="86" spans="1:8" s="76" customFormat="1" x14ac:dyDescent="0.2">
      <c r="A86" s="94" t="s">
        <v>119</v>
      </c>
      <c r="B86" s="117">
        <v>16928000</v>
      </c>
      <c r="C86" s="354">
        <v>17453000</v>
      </c>
      <c r="D86" s="355">
        <v>17453000</v>
      </c>
      <c r="E86" s="90">
        <f t="shared" ref="E86:E89" si="5">D86/C86*100</f>
        <v>100</v>
      </c>
      <c r="F86" s="156" t="s">
        <v>50</v>
      </c>
      <c r="G86" s="275" t="s">
        <v>71</v>
      </c>
      <c r="H86" s="71"/>
    </row>
    <row r="87" spans="1:8" s="76" customFormat="1" x14ac:dyDescent="0.2">
      <c r="A87" s="508" t="s">
        <v>321</v>
      </c>
      <c r="B87" s="117">
        <v>0</v>
      </c>
      <c r="C87" s="354">
        <v>1000</v>
      </c>
      <c r="D87" s="355">
        <v>1000</v>
      </c>
      <c r="E87" s="90">
        <f t="shared" si="5"/>
        <v>100</v>
      </c>
      <c r="F87" s="278" t="s">
        <v>316</v>
      </c>
      <c r="G87" s="275" t="s">
        <v>71</v>
      </c>
      <c r="H87" s="71"/>
    </row>
    <row r="88" spans="1:8" s="150" customFormat="1" ht="25.5" x14ac:dyDescent="0.2">
      <c r="A88" s="350" t="s">
        <v>322</v>
      </c>
      <c r="B88" s="117">
        <v>0</v>
      </c>
      <c r="C88" s="354">
        <v>500000</v>
      </c>
      <c r="D88" s="355">
        <v>35254.46</v>
      </c>
      <c r="E88" s="90">
        <f t="shared" si="5"/>
        <v>7.0508920000000002</v>
      </c>
      <c r="F88" s="157" t="s">
        <v>51</v>
      </c>
      <c r="G88" s="275" t="s">
        <v>71</v>
      </c>
      <c r="H88" s="149"/>
    </row>
    <row r="89" spans="1:8" s="76" customFormat="1" x14ac:dyDescent="0.2">
      <c r="A89" s="509" t="s">
        <v>323</v>
      </c>
      <c r="B89" s="117">
        <v>0</v>
      </c>
      <c r="C89" s="354">
        <v>1000</v>
      </c>
      <c r="D89" s="355">
        <v>1000</v>
      </c>
      <c r="E89" s="90">
        <f t="shared" si="5"/>
        <v>100</v>
      </c>
      <c r="F89" s="278" t="s">
        <v>317</v>
      </c>
      <c r="G89" s="275" t="s">
        <v>71</v>
      </c>
      <c r="H89" s="71"/>
    </row>
    <row r="90" spans="1:8" s="76" customFormat="1" x14ac:dyDescent="0.2">
      <c r="A90" s="510" t="s">
        <v>324</v>
      </c>
      <c r="B90" s="117">
        <v>0</v>
      </c>
      <c r="C90" s="354">
        <v>1000</v>
      </c>
      <c r="D90" s="355">
        <v>1000</v>
      </c>
      <c r="E90" s="90">
        <f t="shared" ref="E90:E109" si="6">D90/C90*100</f>
        <v>100</v>
      </c>
      <c r="F90" s="278" t="s">
        <v>318</v>
      </c>
      <c r="G90" s="275" t="s">
        <v>71</v>
      </c>
      <c r="H90" s="71"/>
    </row>
    <row r="91" spans="1:8" s="76" customFormat="1" x14ac:dyDescent="0.2">
      <c r="A91" s="53" t="s">
        <v>118</v>
      </c>
      <c r="B91" s="117">
        <v>9825000</v>
      </c>
      <c r="C91" s="354">
        <v>9825000</v>
      </c>
      <c r="D91" s="355">
        <v>9784448</v>
      </c>
      <c r="E91" s="90">
        <f t="shared" si="6"/>
        <v>99.587256997455469</v>
      </c>
      <c r="F91" s="278" t="s">
        <v>52</v>
      </c>
      <c r="G91" s="275" t="s">
        <v>71</v>
      </c>
      <c r="H91" s="71"/>
    </row>
    <row r="92" spans="1:8" s="76" customFormat="1" x14ac:dyDescent="0.2">
      <c r="A92" s="356" t="s">
        <v>325</v>
      </c>
      <c r="B92" s="117">
        <v>0</v>
      </c>
      <c r="C92" s="354">
        <v>23</v>
      </c>
      <c r="D92" s="355">
        <v>0</v>
      </c>
      <c r="E92" s="90">
        <f t="shared" si="6"/>
        <v>0</v>
      </c>
      <c r="F92" s="278" t="s">
        <v>319</v>
      </c>
      <c r="G92" s="275" t="s">
        <v>71</v>
      </c>
      <c r="H92" s="71"/>
    </row>
    <row r="93" spans="1:8" s="76" customFormat="1" x14ac:dyDescent="0.2">
      <c r="A93" s="356" t="s">
        <v>326</v>
      </c>
      <c r="B93" s="117">
        <v>0</v>
      </c>
      <c r="C93" s="354">
        <v>550000</v>
      </c>
      <c r="D93" s="355">
        <v>0</v>
      </c>
      <c r="E93" s="90">
        <f t="shared" si="6"/>
        <v>0</v>
      </c>
      <c r="F93" s="278" t="s">
        <v>320</v>
      </c>
      <c r="G93" s="275" t="s">
        <v>71</v>
      </c>
      <c r="H93" s="71"/>
    </row>
    <row r="94" spans="1:8" s="76" customFormat="1" x14ac:dyDescent="0.2">
      <c r="A94" s="510" t="s">
        <v>210</v>
      </c>
      <c r="B94" s="117">
        <v>0</v>
      </c>
      <c r="C94" s="354">
        <v>39000</v>
      </c>
      <c r="D94" s="355">
        <v>34652</v>
      </c>
      <c r="E94" s="90">
        <f t="shared" si="6"/>
        <v>88.851282051282055</v>
      </c>
      <c r="F94" s="278" t="s">
        <v>209</v>
      </c>
      <c r="G94" s="319" t="s">
        <v>66</v>
      </c>
      <c r="H94" s="71"/>
    </row>
    <row r="95" spans="1:8" s="59" customFormat="1" ht="25.5" x14ac:dyDescent="0.2">
      <c r="A95" s="356" t="s">
        <v>168</v>
      </c>
      <c r="B95" s="117">
        <v>0</v>
      </c>
      <c r="C95" s="354">
        <v>689172</v>
      </c>
      <c r="D95" s="355">
        <v>689172</v>
      </c>
      <c r="E95" s="90">
        <f t="shared" si="6"/>
        <v>100</v>
      </c>
      <c r="F95" s="157" t="s">
        <v>67</v>
      </c>
      <c r="G95" s="320" t="s">
        <v>66</v>
      </c>
      <c r="H95" s="79"/>
    </row>
    <row r="96" spans="1:8" s="59" customFormat="1" x14ac:dyDescent="0.2">
      <c r="A96" s="53" t="s">
        <v>211</v>
      </c>
      <c r="B96" s="117">
        <v>0</v>
      </c>
      <c r="C96" s="354">
        <v>46000</v>
      </c>
      <c r="D96" s="355">
        <v>44413</v>
      </c>
      <c r="E96" s="90">
        <f t="shared" si="6"/>
        <v>96.55</v>
      </c>
      <c r="F96" s="156" t="s">
        <v>68</v>
      </c>
      <c r="G96" s="319" t="s">
        <v>66</v>
      </c>
      <c r="H96" s="79"/>
    </row>
    <row r="97" spans="1:11" s="59" customFormat="1" x14ac:dyDescent="0.2">
      <c r="A97" s="53" t="s">
        <v>160</v>
      </c>
      <c r="B97" s="117">
        <v>0</v>
      </c>
      <c r="C97" s="354">
        <v>150395</v>
      </c>
      <c r="D97" s="355">
        <v>150395</v>
      </c>
      <c r="E97" s="90">
        <f t="shared" si="6"/>
        <v>100</v>
      </c>
      <c r="F97" s="278" t="s">
        <v>159</v>
      </c>
      <c r="G97" s="319" t="s">
        <v>66</v>
      </c>
      <c r="H97" s="79"/>
    </row>
    <row r="98" spans="1:11" s="59" customFormat="1" x14ac:dyDescent="0.2">
      <c r="A98" s="53" t="s">
        <v>328</v>
      </c>
      <c r="B98" s="117">
        <v>0</v>
      </c>
      <c r="C98" s="354">
        <v>70500</v>
      </c>
      <c r="D98" s="355">
        <v>70180</v>
      </c>
      <c r="E98" s="90">
        <f t="shared" si="6"/>
        <v>99.546099290780148</v>
      </c>
      <c r="F98" s="278" t="s">
        <v>327</v>
      </c>
      <c r="G98" s="319" t="s">
        <v>66</v>
      </c>
      <c r="H98" s="79"/>
    </row>
    <row r="99" spans="1:11" s="59" customFormat="1" x14ac:dyDescent="0.2">
      <c r="A99" s="53" t="s">
        <v>226</v>
      </c>
      <c r="B99" s="117">
        <v>0</v>
      </c>
      <c r="C99" s="354">
        <v>215899</v>
      </c>
      <c r="D99" s="355">
        <v>181149</v>
      </c>
      <c r="E99" s="90">
        <f t="shared" si="6"/>
        <v>83.904510905562319</v>
      </c>
      <c r="F99" s="156" t="s">
        <v>69</v>
      </c>
      <c r="G99" s="319" t="s">
        <v>66</v>
      </c>
      <c r="H99" s="317"/>
      <c r="I99" s="318"/>
      <c r="J99" s="318"/>
      <c r="K99" s="318"/>
    </row>
    <row r="100" spans="1:11" s="59" customFormat="1" ht="25.5" x14ac:dyDescent="0.2">
      <c r="A100" s="356" t="s">
        <v>169</v>
      </c>
      <c r="B100" s="117">
        <v>0</v>
      </c>
      <c r="C100" s="354">
        <v>108900</v>
      </c>
      <c r="D100" s="355">
        <v>108900</v>
      </c>
      <c r="E100" s="90">
        <f t="shared" si="6"/>
        <v>100</v>
      </c>
      <c r="F100" s="157" t="s">
        <v>70</v>
      </c>
      <c r="G100" s="320" t="s">
        <v>66</v>
      </c>
      <c r="H100" s="492" t="s">
        <v>71</v>
      </c>
      <c r="I100" s="493">
        <f>SUM(B86:B93)</f>
        <v>26753000</v>
      </c>
      <c r="J100" s="493">
        <f>SUM(C86:C93)</f>
        <v>28331023</v>
      </c>
      <c r="K100" s="493">
        <f>SUM(D86:D93)</f>
        <v>27275702.460000001</v>
      </c>
    </row>
    <row r="101" spans="1:11" s="76" customFormat="1" x14ac:dyDescent="0.2">
      <c r="A101" s="509" t="s">
        <v>170</v>
      </c>
      <c r="B101" s="117">
        <v>0</v>
      </c>
      <c r="C101" s="354">
        <v>175691.5</v>
      </c>
      <c r="D101" s="355">
        <v>175691.5</v>
      </c>
      <c r="E101" s="90">
        <f t="shared" si="6"/>
        <v>100</v>
      </c>
      <c r="F101" s="278" t="s">
        <v>162</v>
      </c>
      <c r="G101" s="319" t="s">
        <v>66</v>
      </c>
      <c r="H101" s="274" t="s">
        <v>66</v>
      </c>
      <c r="I101" s="309">
        <f>SUM(B94:B109)</f>
        <v>0</v>
      </c>
      <c r="J101" s="309">
        <f>SUM(C94:C109)</f>
        <v>2923818.86</v>
      </c>
      <c r="K101" s="309">
        <f>SUM(D94:D109)</f>
        <v>2770977.36</v>
      </c>
    </row>
    <row r="102" spans="1:11" s="76" customFormat="1" x14ac:dyDescent="0.2">
      <c r="A102" s="53" t="s">
        <v>171</v>
      </c>
      <c r="B102" s="341">
        <v>0</v>
      </c>
      <c r="C102" s="354">
        <v>97405</v>
      </c>
      <c r="D102" s="355">
        <v>70180</v>
      </c>
      <c r="E102" s="90">
        <f t="shared" si="6"/>
        <v>72.049689440993788</v>
      </c>
      <c r="F102" s="278" t="s">
        <v>163</v>
      </c>
      <c r="G102" s="319" t="s">
        <v>66</v>
      </c>
      <c r="H102" s="282"/>
      <c r="I102" s="310"/>
      <c r="J102" s="310"/>
      <c r="K102" s="310"/>
    </row>
    <row r="103" spans="1:11" s="76" customFormat="1" ht="15" x14ac:dyDescent="0.25">
      <c r="A103" s="510" t="s">
        <v>173</v>
      </c>
      <c r="B103" s="117">
        <v>0</v>
      </c>
      <c r="C103" s="354">
        <v>107690</v>
      </c>
      <c r="D103" s="355">
        <v>104060</v>
      </c>
      <c r="E103" s="90">
        <f t="shared" si="6"/>
        <v>96.629213483146074</v>
      </c>
      <c r="F103" s="278" t="s">
        <v>164</v>
      </c>
      <c r="G103" s="319" t="s">
        <v>66</v>
      </c>
      <c r="H103" s="18"/>
      <c r="I103" s="307">
        <f>SUM(I99:I102)</f>
        <v>26753000</v>
      </c>
      <c r="J103" s="307">
        <f>SUM(J99:J102)</f>
        <v>31254841.859999999</v>
      </c>
      <c r="K103" s="307">
        <f>SUM(K99:K102)</f>
        <v>30046679.82</v>
      </c>
    </row>
    <row r="104" spans="1:11" s="76" customFormat="1" x14ac:dyDescent="0.2">
      <c r="A104" s="53" t="s">
        <v>172</v>
      </c>
      <c r="B104" s="117">
        <v>0</v>
      </c>
      <c r="C104" s="354">
        <v>9460</v>
      </c>
      <c r="D104" s="355">
        <v>9460</v>
      </c>
      <c r="E104" s="90">
        <f t="shared" si="6"/>
        <v>100</v>
      </c>
      <c r="F104" s="278" t="s">
        <v>165</v>
      </c>
      <c r="G104" s="319" t="s">
        <v>66</v>
      </c>
    </row>
    <row r="105" spans="1:11" s="76" customFormat="1" ht="25.5" x14ac:dyDescent="0.2">
      <c r="A105" s="356" t="s">
        <v>174</v>
      </c>
      <c r="B105" s="117">
        <v>0</v>
      </c>
      <c r="C105" s="354">
        <v>146652</v>
      </c>
      <c r="D105" s="355">
        <v>146651.5</v>
      </c>
      <c r="E105" s="90">
        <f t="shared" si="6"/>
        <v>99.999659056814778</v>
      </c>
      <c r="F105" s="279" t="s">
        <v>166</v>
      </c>
      <c r="G105" s="320" t="s">
        <v>66</v>
      </c>
      <c r="H105" s="71"/>
    </row>
    <row r="106" spans="1:11" s="59" customFormat="1" ht="25.5" x14ac:dyDescent="0.2">
      <c r="A106" s="356" t="s">
        <v>175</v>
      </c>
      <c r="B106" s="117">
        <v>0</v>
      </c>
      <c r="C106" s="354">
        <v>580376.36</v>
      </c>
      <c r="D106" s="355">
        <v>580376.36</v>
      </c>
      <c r="E106" s="90">
        <f t="shared" si="6"/>
        <v>100</v>
      </c>
      <c r="F106" s="280" t="s">
        <v>167</v>
      </c>
      <c r="G106" s="320" t="s">
        <v>66</v>
      </c>
      <c r="H106" s="79"/>
    </row>
    <row r="107" spans="1:11" s="59" customFormat="1" x14ac:dyDescent="0.2">
      <c r="A107" s="356" t="s">
        <v>330</v>
      </c>
      <c r="B107" s="117">
        <v>0</v>
      </c>
      <c r="C107" s="354">
        <v>309933</v>
      </c>
      <c r="D107" s="355">
        <v>308792</v>
      </c>
      <c r="E107" s="90">
        <f t="shared" si="6"/>
        <v>99.631855917246625</v>
      </c>
      <c r="F107" s="280" t="s">
        <v>329</v>
      </c>
      <c r="G107" s="320" t="s">
        <v>66</v>
      </c>
      <c r="H107" s="79"/>
    </row>
    <row r="108" spans="1:11" s="59" customFormat="1" x14ac:dyDescent="0.2">
      <c r="A108" s="356" t="s">
        <v>332</v>
      </c>
      <c r="B108" s="117">
        <v>0</v>
      </c>
      <c r="C108" s="354">
        <v>123000</v>
      </c>
      <c r="D108" s="355">
        <v>43560</v>
      </c>
      <c r="E108" s="90">
        <f t="shared" si="6"/>
        <v>35.414634146341463</v>
      </c>
      <c r="F108" s="280" t="s">
        <v>331</v>
      </c>
      <c r="G108" s="320" t="s">
        <v>66</v>
      </c>
      <c r="H108" s="79"/>
    </row>
    <row r="109" spans="1:11" s="59" customFormat="1" ht="13.5" thickBot="1" x14ac:dyDescent="0.25">
      <c r="A109" s="345" t="s">
        <v>333</v>
      </c>
      <c r="B109" s="347">
        <v>0</v>
      </c>
      <c r="C109" s="357">
        <v>53745</v>
      </c>
      <c r="D109" s="358">
        <v>53345</v>
      </c>
      <c r="E109" s="340">
        <f t="shared" si="6"/>
        <v>99.255744720439111</v>
      </c>
      <c r="F109" s="279" t="s">
        <v>334</v>
      </c>
      <c r="G109" s="320" t="s">
        <v>66</v>
      </c>
      <c r="H109" s="79"/>
    </row>
    <row r="110" spans="1:11" s="98" customFormat="1" ht="15.75" thickTop="1" x14ac:dyDescent="0.25">
      <c r="A110" s="80"/>
      <c r="B110" s="30"/>
      <c r="C110" s="30"/>
      <c r="D110" s="28"/>
      <c r="E110" s="81"/>
      <c r="F110" s="151"/>
      <c r="G110" s="97"/>
      <c r="H110" s="97"/>
    </row>
    <row r="111" spans="1:11" s="38" customFormat="1" x14ac:dyDescent="0.2">
      <c r="E111" s="96"/>
      <c r="F111" s="144"/>
      <c r="G111" s="100"/>
      <c r="H111" s="100"/>
    </row>
    <row r="112" spans="1:11" s="38" customFormat="1" x14ac:dyDescent="0.2">
      <c r="E112" s="96"/>
      <c r="F112" s="144"/>
      <c r="G112" s="100"/>
      <c r="H112" s="100"/>
    </row>
    <row r="113" spans="1:8" s="37" customFormat="1" ht="18.75" thickBot="1" x14ac:dyDescent="0.3">
      <c r="A113" s="106" t="s">
        <v>28</v>
      </c>
      <c r="B113" s="107">
        <f>SUM(B85,)</f>
        <v>26753000</v>
      </c>
      <c r="C113" s="107">
        <f>SUM(C85,)</f>
        <v>31254841.859999999</v>
      </c>
      <c r="D113" s="107">
        <f>SUM(D85,)</f>
        <v>30046679.82</v>
      </c>
      <c r="E113" s="108">
        <f>D113/C113*100</f>
        <v>96.134480393752341</v>
      </c>
      <c r="F113" s="70"/>
      <c r="G113" s="109"/>
      <c r="H113" s="109"/>
    </row>
    <row r="114" spans="1:8" s="38" customFormat="1" ht="13.5" thickTop="1" x14ac:dyDescent="0.2">
      <c r="E114" s="96"/>
      <c r="F114" s="144"/>
      <c r="G114" s="100"/>
      <c r="H114" s="100"/>
    </row>
    <row r="115" spans="1:8" s="38" customFormat="1" x14ac:dyDescent="0.2">
      <c r="E115" s="96"/>
      <c r="F115" s="144"/>
      <c r="G115" s="100"/>
      <c r="H115" s="100"/>
    </row>
    <row r="116" spans="1:8" s="38" customFormat="1" x14ac:dyDescent="0.2">
      <c r="E116" s="96"/>
      <c r="F116" s="144"/>
      <c r="G116" s="100"/>
      <c r="H116" s="100"/>
    </row>
    <row r="117" spans="1:8" ht="15" customHeight="1" x14ac:dyDescent="0.25">
      <c r="A117" s="77" t="s">
        <v>48</v>
      </c>
    </row>
    <row r="118" spans="1:8" ht="15" customHeight="1" thickBot="1" x14ac:dyDescent="0.3">
      <c r="A118" s="80" t="s">
        <v>25</v>
      </c>
      <c r="E118" s="81" t="s">
        <v>18</v>
      </c>
    </row>
    <row r="119" spans="1:8" ht="14.25" thickTop="1" thickBot="1" x14ac:dyDescent="0.25">
      <c r="A119" s="82" t="s">
        <v>5</v>
      </c>
      <c r="B119" s="83" t="s">
        <v>0</v>
      </c>
      <c r="C119" s="84" t="s">
        <v>1</v>
      </c>
      <c r="D119" s="85" t="s">
        <v>4</v>
      </c>
      <c r="E119" s="86" t="s">
        <v>6</v>
      </c>
    </row>
    <row r="120" spans="1:8" ht="15.75" thickTop="1" x14ac:dyDescent="0.25">
      <c r="A120" s="87" t="s">
        <v>11</v>
      </c>
      <c r="B120" s="112">
        <f>SUM(B121:B153)</f>
        <v>59426000</v>
      </c>
      <c r="C120" s="112">
        <f>SUM(C121:C153)</f>
        <v>41131488.710000008</v>
      </c>
      <c r="D120" s="112">
        <f>SUM(D121:D153)</f>
        <v>37810455.960000008</v>
      </c>
      <c r="E120" s="89">
        <f t="shared" ref="E120:E127" si="7">D120/C120*100</f>
        <v>91.925814372012795</v>
      </c>
      <c r="F120" s="78"/>
      <c r="H120" s="166"/>
    </row>
    <row r="121" spans="1:8" s="76" customFormat="1" x14ac:dyDescent="0.2">
      <c r="A121" s="53" t="s">
        <v>222</v>
      </c>
      <c r="B121" s="352">
        <v>100000</v>
      </c>
      <c r="C121" s="113">
        <v>10000</v>
      </c>
      <c r="D121" s="349">
        <v>10000</v>
      </c>
      <c r="E121" s="90">
        <f t="shared" si="7"/>
        <v>100</v>
      </c>
      <c r="F121" s="147">
        <v>100029</v>
      </c>
      <c r="G121" s="275" t="s">
        <v>71</v>
      </c>
      <c r="H121" s="72"/>
    </row>
    <row r="122" spans="1:8" s="76" customFormat="1" x14ac:dyDescent="0.2">
      <c r="A122" s="53" t="s">
        <v>335</v>
      </c>
      <c r="B122" s="352">
        <v>216000</v>
      </c>
      <c r="C122" s="113">
        <v>258010</v>
      </c>
      <c r="D122" s="349">
        <v>258010</v>
      </c>
      <c r="E122" s="90">
        <f t="shared" si="7"/>
        <v>100</v>
      </c>
      <c r="F122" s="147">
        <v>100032</v>
      </c>
      <c r="G122" s="275" t="s">
        <v>71</v>
      </c>
      <c r="H122" s="71"/>
    </row>
    <row r="123" spans="1:8" s="76" customFormat="1" x14ac:dyDescent="0.2">
      <c r="A123" s="53" t="s">
        <v>101</v>
      </c>
      <c r="B123" s="352">
        <v>4000000</v>
      </c>
      <c r="C123" s="113">
        <v>1000</v>
      </c>
      <c r="D123" s="349">
        <v>1000</v>
      </c>
      <c r="E123" s="90">
        <f t="shared" si="7"/>
        <v>100</v>
      </c>
      <c r="F123" s="147">
        <v>100040</v>
      </c>
      <c r="G123" s="275" t="s">
        <v>71</v>
      </c>
      <c r="H123" s="71"/>
    </row>
    <row r="124" spans="1:8" s="76" customFormat="1" x14ac:dyDescent="0.2">
      <c r="A124" s="53" t="s">
        <v>336</v>
      </c>
      <c r="B124" s="352">
        <v>30000</v>
      </c>
      <c r="C124" s="349">
        <v>0</v>
      </c>
      <c r="D124" s="352">
        <v>0</v>
      </c>
      <c r="E124" s="90">
        <v>0</v>
      </c>
      <c r="F124" s="147">
        <v>100060</v>
      </c>
      <c r="G124" s="275" t="s">
        <v>71</v>
      </c>
      <c r="H124" s="71"/>
    </row>
    <row r="125" spans="1:8" s="76" customFormat="1" x14ac:dyDescent="0.2">
      <c r="A125" s="53" t="s">
        <v>223</v>
      </c>
      <c r="B125" s="352">
        <v>30500000</v>
      </c>
      <c r="C125" s="349">
        <v>30500000</v>
      </c>
      <c r="D125" s="352">
        <v>30434442.210000001</v>
      </c>
      <c r="E125" s="90">
        <f t="shared" si="7"/>
        <v>99.785056426229517</v>
      </c>
      <c r="F125" s="147">
        <v>100061</v>
      </c>
      <c r="G125" s="275" t="s">
        <v>71</v>
      </c>
      <c r="H125" s="71"/>
    </row>
    <row r="126" spans="1:8" s="76" customFormat="1" x14ac:dyDescent="0.2">
      <c r="A126" s="511" t="s">
        <v>337</v>
      </c>
      <c r="B126" s="352">
        <v>0</v>
      </c>
      <c r="C126" s="349">
        <v>12000</v>
      </c>
      <c r="D126" s="352">
        <v>11950</v>
      </c>
      <c r="E126" s="90">
        <f t="shared" si="7"/>
        <v>99.583333333333329</v>
      </c>
      <c r="F126" s="147">
        <v>100108</v>
      </c>
      <c r="G126" s="275" t="s">
        <v>71</v>
      </c>
      <c r="H126" s="71"/>
    </row>
    <row r="127" spans="1:8" s="76" customFormat="1" x14ac:dyDescent="0.2">
      <c r="A127" s="511" t="s">
        <v>272</v>
      </c>
      <c r="B127" s="352">
        <v>0</v>
      </c>
      <c r="C127" s="349">
        <v>2000</v>
      </c>
      <c r="D127" s="352">
        <v>2000</v>
      </c>
      <c r="E127" s="90">
        <f t="shared" si="7"/>
        <v>100</v>
      </c>
      <c r="F127" s="147">
        <v>100110</v>
      </c>
      <c r="G127" s="275" t="s">
        <v>71</v>
      </c>
      <c r="H127" s="71"/>
    </row>
    <row r="128" spans="1:8" s="76" customFormat="1" x14ac:dyDescent="0.2">
      <c r="A128" s="94" t="s">
        <v>177</v>
      </c>
      <c r="B128" s="352">
        <v>4000000</v>
      </c>
      <c r="C128" s="349">
        <v>622300</v>
      </c>
      <c r="D128" s="344">
        <v>4000</v>
      </c>
      <c r="E128" s="90">
        <f t="shared" ref="E128:E153" si="8">D128/C128*100</f>
        <v>0.6427767957576731</v>
      </c>
      <c r="F128" s="143">
        <v>100130</v>
      </c>
      <c r="G128" s="275" t="s">
        <v>71</v>
      </c>
      <c r="H128" s="71"/>
    </row>
    <row r="129" spans="1:11" s="150" customFormat="1" x14ac:dyDescent="0.2">
      <c r="A129" s="94" t="s">
        <v>121</v>
      </c>
      <c r="B129" s="352">
        <v>6669000</v>
      </c>
      <c r="C129" s="352">
        <v>0</v>
      </c>
      <c r="D129" s="344">
        <v>0</v>
      </c>
      <c r="E129" s="90">
        <v>0</v>
      </c>
      <c r="F129" s="147">
        <v>100532</v>
      </c>
      <c r="G129" s="275" t="s">
        <v>71</v>
      </c>
      <c r="H129" s="149"/>
    </row>
    <row r="130" spans="1:11" s="76" customFormat="1" x14ac:dyDescent="0.2">
      <c r="A130" s="94" t="s">
        <v>224</v>
      </c>
      <c r="B130" s="352">
        <v>5000000</v>
      </c>
      <c r="C130" s="352">
        <v>158</v>
      </c>
      <c r="D130" s="344">
        <v>158</v>
      </c>
      <c r="E130" s="90">
        <f t="shared" si="8"/>
        <v>100</v>
      </c>
      <c r="F130" s="147">
        <v>100534</v>
      </c>
      <c r="G130" s="275" t="s">
        <v>71</v>
      </c>
      <c r="H130" s="71"/>
    </row>
    <row r="131" spans="1:11" s="59" customFormat="1" x14ac:dyDescent="0.2">
      <c r="A131" s="53" t="s">
        <v>99</v>
      </c>
      <c r="B131" s="349">
        <v>0</v>
      </c>
      <c r="C131" s="349">
        <v>1543984.41</v>
      </c>
      <c r="D131" s="349">
        <v>758448.44</v>
      </c>
      <c r="E131" s="90">
        <f t="shared" si="8"/>
        <v>49.122804290491509</v>
      </c>
      <c r="F131" s="147">
        <v>100647</v>
      </c>
      <c r="G131" s="275" t="s">
        <v>71</v>
      </c>
      <c r="H131" s="79"/>
    </row>
    <row r="132" spans="1:11" s="76" customFormat="1" x14ac:dyDescent="0.2">
      <c r="A132" s="53" t="s">
        <v>340</v>
      </c>
      <c r="B132" s="352">
        <v>0</v>
      </c>
      <c r="C132" s="352">
        <v>500000</v>
      </c>
      <c r="D132" s="352">
        <v>0</v>
      </c>
      <c r="E132" s="90">
        <f t="shared" si="8"/>
        <v>0</v>
      </c>
      <c r="F132" s="147">
        <v>100673</v>
      </c>
      <c r="G132" s="275" t="s">
        <v>71</v>
      </c>
      <c r="H132" s="71"/>
    </row>
    <row r="133" spans="1:11" s="76" customFormat="1" x14ac:dyDescent="0.2">
      <c r="A133" s="94" t="s">
        <v>178</v>
      </c>
      <c r="B133" s="352">
        <v>432000</v>
      </c>
      <c r="C133" s="352">
        <v>0</v>
      </c>
      <c r="D133" s="344">
        <v>0</v>
      </c>
      <c r="E133" s="90">
        <v>0</v>
      </c>
      <c r="F133" s="143">
        <v>100803</v>
      </c>
      <c r="G133" s="275" t="s">
        <v>71</v>
      </c>
      <c r="H133" s="71"/>
    </row>
    <row r="134" spans="1:11" s="76" customFormat="1" ht="25.5" x14ac:dyDescent="0.2">
      <c r="A134" s="356" t="s">
        <v>404</v>
      </c>
      <c r="B134" s="117">
        <v>0</v>
      </c>
      <c r="C134" s="354">
        <v>769607.83</v>
      </c>
      <c r="D134" s="355">
        <v>758784.44</v>
      </c>
      <c r="E134" s="90">
        <f t="shared" ref="E134:E136" si="9">D134/C134*100</f>
        <v>98.593648663891571</v>
      </c>
      <c r="F134" s="279" t="s">
        <v>405</v>
      </c>
      <c r="G134" s="523" t="s">
        <v>413</v>
      </c>
      <c r="H134" s="71"/>
    </row>
    <row r="135" spans="1:11" s="76" customFormat="1" x14ac:dyDescent="0.2">
      <c r="A135" s="356" t="s">
        <v>409</v>
      </c>
      <c r="B135" s="117">
        <v>2000000</v>
      </c>
      <c r="C135" s="354">
        <v>242103.17</v>
      </c>
      <c r="D135" s="355">
        <v>0</v>
      </c>
      <c r="E135" s="90">
        <f t="shared" si="9"/>
        <v>0</v>
      </c>
      <c r="F135" s="279" t="s">
        <v>408</v>
      </c>
      <c r="G135" s="523" t="s">
        <v>412</v>
      </c>
      <c r="H135" s="71"/>
    </row>
    <row r="136" spans="1:11" s="76" customFormat="1" x14ac:dyDescent="0.2">
      <c r="A136" s="356" t="s">
        <v>414</v>
      </c>
      <c r="B136" s="117">
        <v>1254000</v>
      </c>
      <c r="C136" s="354">
        <v>505319</v>
      </c>
      <c r="D136" s="355">
        <v>494429</v>
      </c>
      <c r="E136" s="90">
        <f t="shared" si="9"/>
        <v>97.844925680609677</v>
      </c>
      <c r="F136" s="279" t="s">
        <v>410</v>
      </c>
      <c r="G136" s="523" t="s">
        <v>411</v>
      </c>
      <c r="H136" s="71"/>
    </row>
    <row r="137" spans="1:11" s="76" customFormat="1" x14ac:dyDescent="0.2">
      <c r="A137" s="53" t="s">
        <v>406</v>
      </c>
      <c r="B137" s="117">
        <v>5225000</v>
      </c>
      <c r="C137" s="354">
        <v>4803289</v>
      </c>
      <c r="D137" s="355">
        <v>4003480.97</v>
      </c>
      <c r="E137" s="90">
        <v>0</v>
      </c>
      <c r="F137" s="279" t="s">
        <v>407</v>
      </c>
      <c r="G137" s="523" t="s">
        <v>412</v>
      </c>
      <c r="H137" s="71"/>
    </row>
    <row r="138" spans="1:11" s="76" customFormat="1" x14ac:dyDescent="0.2">
      <c r="A138" s="94" t="s">
        <v>335</v>
      </c>
      <c r="B138" s="352">
        <v>0</v>
      </c>
      <c r="C138" s="352">
        <v>120000</v>
      </c>
      <c r="D138" s="344">
        <v>93158.2</v>
      </c>
      <c r="E138" s="90">
        <f t="shared" si="8"/>
        <v>77.631833333333333</v>
      </c>
      <c r="F138" s="147">
        <v>100032</v>
      </c>
      <c r="G138" s="274" t="s">
        <v>66</v>
      </c>
      <c r="H138" s="71"/>
    </row>
    <row r="139" spans="1:11" s="76" customFormat="1" x14ac:dyDescent="0.2">
      <c r="A139" s="94" t="s">
        <v>176</v>
      </c>
      <c r="B139" s="352">
        <v>0</v>
      </c>
      <c r="C139" s="352">
        <v>86364.4</v>
      </c>
      <c r="D139" s="344">
        <v>86364.4</v>
      </c>
      <c r="E139" s="90">
        <f t="shared" si="8"/>
        <v>100</v>
      </c>
      <c r="F139" s="147">
        <v>100106</v>
      </c>
      <c r="G139" s="274" t="s">
        <v>66</v>
      </c>
      <c r="H139" s="71"/>
    </row>
    <row r="140" spans="1:11" s="76" customFormat="1" x14ac:dyDescent="0.2">
      <c r="A140" s="511" t="s">
        <v>272</v>
      </c>
      <c r="B140" s="352">
        <v>0</v>
      </c>
      <c r="C140" s="352">
        <v>76230</v>
      </c>
      <c r="D140" s="344">
        <v>76230</v>
      </c>
      <c r="E140" s="90">
        <f t="shared" si="8"/>
        <v>100</v>
      </c>
      <c r="F140" s="147">
        <v>100110</v>
      </c>
      <c r="G140" s="274" t="s">
        <v>66</v>
      </c>
      <c r="H140" s="315" t="s">
        <v>157</v>
      </c>
      <c r="I140" s="316">
        <f>SUM(B160:B161)</f>
        <v>0</v>
      </c>
      <c r="J140" s="316">
        <f>SUM(C160:C161)</f>
        <v>258341</v>
      </c>
      <c r="K140" s="316">
        <f>SUM(D160:D161)</f>
        <v>236019.52000000002</v>
      </c>
    </row>
    <row r="141" spans="1:11" s="76" customFormat="1" x14ac:dyDescent="0.2">
      <c r="A141" s="94" t="s">
        <v>121</v>
      </c>
      <c r="B141" s="352">
        <v>0</v>
      </c>
      <c r="C141" s="352">
        <v>78679.600000000006</v>
      </c>
      <c r="D141" s="344">
        <v>78679.600000000006</v>
      </c>
      <c r="E141" s="90">
        <f t="shared" si="8"/>
        <v>100</v>
      </c>
      <c r="F141" s="147">
        <v>100532</v>
      </c>
      <c r="G141" s="274" t="s">
        <v>66</v>
      </c>
      <c r="H141" s="275" t="s">
        <v>71</v>
      </c>
      <c r="I141" s="308">
        <f>SUM(B121:B133)</f>
        <v>50947000</v>
      </c>
      <c r="J141" s="308">
        <f>SUM(C121:C133)</f>
        <v>33449452.41</v>
      </c>
      <c r="K141" s="308">
        <f>SUM(D121:D133)</f>
        <v>31480008.650000002</v>
      </c>
    </row>
    <row r="142" spans="1:11" s="76" customFormat="1" x14ac:dyDescent="0.2">
      <c r="A142" s="94" t="s">
        <v>224</v>
      </c>
      <c r="B142" s="352">
        <v>0</v>
      </c>
      <c r="C142" s="352">
        <v>78504.2</v>
      </c>
      <c r="D142" s="344">
        <v>78504.2</v>
      </c>
      <c r="E142" s="90">
        <f t="shared" si="8"/>
        <v>100</v>
      </c>
      <c r="F142" s="147">
        <v>100534</v>
      </c>
      <c r="G142" s="274" t="s">
        <v>66</v>
      </c>
      <c r="H142" s="274" t="s">
        <v>66</v>
      </c>
      <c r="I142" s="309">
        <f>SUM(B138:B153)</f>
        <v>0</v>
      </c>
      <c r="J142" s="309">
        <f>SUM(C138:C153)</f>
        <v>1361717.2999999998</v>
      </c>
      <c r="K142" s="309">
        <f>SUM(D138:D153)</f>
        <v>1073752.8999999999</v>
      </c>
    </row>
    <row r="143" spans="1:11" s="76" customFormat="1" x14ac:dyDescent="0.2">
      <c r="A143" s="94" t="s">
        <v>218</v>
      </c>
      <c r="B143" s="352">
        <v>0</v>
      </c>
      <c r="C143" s="352">
        <v>30250</v>
      </c>
      <c r="D143" s="344">
        <v>0</v>
      </c>
      <c r="E143" s="90">
        <f t="shared" si="8"/>
        <v>0</v>
      </c>
      <c r="F143" s="147">
        <v>100535</v>
      </c>
      <c r="G143" s="274" t="s">
        <v>66</v>
      </c>
      <c r="H143" s="523" t="s">
        <v>158</v>
      </c>
      <c r="I143" s="524">
        <f>SUM(B134:B137)</f>
        <v>8479000</v>
      </c>
      <c r="J143" s="524">
        <f t="shared" ref="J143:K143" si="10">SUM(C134:C137)</f>
        <v>6320319</v>
      </c>
      <c r="K143" s="524">
        <f t="shared" si="10"/>
        <v>5256694.41</v>
      </c>
    </row>
    <row r="144" spans="1:11" s="76" customFormat="1" ht="15" x14ac:dyDescent="0.25">
      <c r="A144" s="94" t="s">
        <v>274</v>
      </c>
      <c r="B144" s="352">
        <v>0</v>
      </c>
      <c r="C144" s="352">
        <v>58016.5</v>
      </c>
      <c r="D144" s="344">
        <v>58016.5</v>
      </c>
      <c r="E144" s="90">
        <f t="shared" si="8"/>
        <v>100</v>
      </c>
      <c r="F144" s="147">
        <v>100536</v>
      </c>
      <c r="G144" s="274" t="s">
        <v>66</v>
      </c>
      <c r="H144" s="71"/>
      <c r="I144" s="307">
        <f>SUM(I140:I143)</f>
        <v>59426000</v>
      </c>
      <c r="J144" s="307">
        <f t="shared" ref="J144:K144" si="11">SUM(J140:J143)</f>
        <v>41389829.709999993</v>
      </c>
      <c r="K144" s="307">
        <f t="shared" si="11"/>
        <v>38046475.480000004</v>
      </c>
    </row>
    <row r="145" spans="1:12" s="76" customFormat="1" x14ac:dyDescent="0.2">
      <c r="A145" s="94" t="s">
        <v>341</v>
      </c>
      <c r="B145" s="352">
        <v>0</v>
      </c>
      <c r="C145" s="352">
        <v>78244.7</v>
      </c>
      <c r="D145" s="337">
        <v>78244.7</v>
      </c>
      <c r="E145" s="90">
        <f t="shared" si="8"/>
        <v>100</v>
      </c>
      <c r="F145" s="147">
        <v>100676</v>
      </c>
      <c r="G145" s="274" t="s">
        <v>66</v>
      </c>
      <c r="H145" s="71"/>
    </row>
    <row r="146" spans="1:12" s="76" customFormat="1" x14ac:dyDescent="0.2">
      <c r="A146" s="94" t="s">
        <v>342</v>
      </c>
      <c r="B146" s="352">
        <v>0</v>
      </c>
      <c r="C146" s="352">
        <v>130000</v>
      </c>
      <c r="D146" s="337">
        <v>96657.600000000006</v>
      </c>
      <c r="E146" s="90">
        <f t="shared" si="8"/>
        <v>74.352000000000004</v>
      </c>
      <c r="F146" s="147">
        <v>100677</v>
      </c>
      <c r="G146" s="274" t="s">
        <v>66</v>
      </c>
      <c r="H146" s="71"/>
    </row>
    <row r="147" spans="1:12" s="76" customFormat="1" x14ac:dyDescent="0.2">
      <c r="A147" s="94" t="s">
        <v>343</v>
      </c>
      <c r="B147" s="349">
        <v>0</v>
      </c>
      <c r="C147" s="349">
        <v>95751.6</v>
      </c>
      <c r="D147" s="337">
        <v>95751.6</v>
      </c>
      <c r="E147" s="90">
        <f t="shared" si="8"/>
        <v>100</v>
      </c>
      <c r="F147" s="147">
        <v>100678</v>
      </c>
      <c r="G147" s="274" t="s">
        <v>66</v>
      </c>
      <c r="H147" s="71"/>
    </row>
    <row r="148" spans="1:12" s="76" customFormat="1" x14ac:dyDescent="0.2">
      <c r="A148" s="94" t="s">
        <v>220</v>
      </c>
      <c r="B148" s="349">
        <v>0</v>
      </c>
      <c r="C148" s="349">
        <v>100359.3</v>
      </c>
      <c r="D148" s="337">
        <v>100359.3</v>
      </c>
      <c r="E148" s="90">
        <f t="shared" si="8"/>
        <v>100</v>
      </c>
      <c r="F148" s="147">
        <v>100679</v>
      </c>
      <c r="G148" s="274" t="s">
        <v>66</v>
      </c>
      <c r="H148" s="71"/>
    </row>
    <row r="149" spans="1:12" s="76" customFormat="1" x14ac:dyDescent="0.2">
      <c r="A149" s="53" t="s">
        <v>179</v>
      </c>
      <c r="B149" s="349">
        <v>0</v>
      </c>
      <c r="C149" s="349">
        <v>9317</v>
      </c>
      <c r="D149" s="349">
        <v>9317</v>
      </c>
      <c r="E149" s="90">
        <f t="shared" si="8"/>
        <v>100</v>
      </c>
      <c r="F149" s="147">
        <v>100798</v>
      </c>
      <c r="G149" s="274" t="s">
        <v>66</v>
      </c>
      <c r="H149" s="71"/>
    </row>
    <row r="150" spans="1:12" s="76" customFormat="1" x14ac:dyDescent="0.2">
      <c r="A150" s="53" t="s">
        <v>344</v>
      </c>
      <c r="B150" s="349">
        <v>0</v>
      </c>
      <c r="C150" s="349">
        <v>120000</v>
      </c>
      <c r="D150" s="349">
        <v>93850.9</v>
      </c>
      <c r="E150" s="90">
        <f t="shared" si="8"/>
        <v>78.209083333333325</v>
      </c>
      <c r="F150" s="147">
        <v>100831</v>
      </c>
      <c r="G150" s="274" t="s">
        <v>66</v>
      </c>
      <c r="H150" s="71"/>
    </row>
    <row r="151" spans="1:12" s="76" customFormat="1" x14ac:dyDescent="0.2">
      <c r="A151" s="53" t="s">
        <v>345</v>
      </c>
      <c r="B151" s="349">
        <v>0</v>
      </c>
      <c r="C151" s="349">
        <v>100000</v>
      </c>
      <c r="D151" s="349">
        <v>63732</v>
      </c>
      <c r="E151" s="90">
        <f t="shared" si="8"/>
        <v>63.731999999999999</v>
      </c>
      <c r="F151" s="147">
        <v>100863</v>
      </c>
      <c r="G151" s="274" t="s">
        <v>66</v>
      </c>
      <c r="H151" s="71"/>
    </row>
    <row r="152" spans="1:12" s="92" customFormat="1" x14ac:dyDescent="0.2">
      <c r="A152" s="94" t="s">
        <v>346</v>
      </c>
      <c r="B152" s="476">
        <v>0</v>
      </c>
      <c r="C152" s="477">
        <v>100000</v>
      </c>
      <c r="D152" s="477">
        <v>1693</v>
      </c>
      <c r="E152" s="90">
        <f t="shared" si="8"/>
        <v>1.6930000000000001</v>
      </c>
      <c r="F152" s="147">
        <v>100864</v>
      </c>
      <c r="G152" s="274" t="s">
        <v>66</v>
      </c>
      <c r="H152" s="91"/>
    </row>
    <row r="153" spans="1:12" s="92" customFormat="1" ht="13.5" thickBot="1" x14ac:dyDescent="0.25">
      <c r="A153" s="490" t="s">
        <v>347</v>
      </c>
      <c r="B153" s="478">
        <v>0</v>
      </c>
      <c r="C153" s="479">
        <v>100000</v>
      </c>
      <c r="D153" s="479">
        <v>63193.9</v>
      </c>
      <c r="E153" s="340">
        <f t="shared" si="8"/>
        <v>63.193899999999999</v>
      </c>
      <c r="F153" s="147">
        <v>100865</v>
      </c>
      <c r="G153" s="274" t="s">
        <v>66</v>
      </c>
      <c r="H153" s="91"/>
    </row>
    <row r="154" spans="1:12" s="92" customFormat="1" ht="13.5" thickTop="1" x14ac:dyDescent="0.2">
      <c r="A154" s="153"/>
      <c r="B154" s="95"/>
      <c r="C154" s="93"/>
      <c r="D154" s="93"/>
      <c r="E154" s="96"/>
      <c r="F154" s="147"/>
      <c r="G154" s="274"/>
      <c r="H154" s="91"/>
    </row>
    <row r="155" spans="1:12" s="92" customFormat="1" x14ac:dyDescent="0.2">
      <c r="A155" s="153"/>
      <c r="B155" s="95"/>
      <c r="C155" s="93"/>
      <c r="D155" s="93"/>
      <c r="E155" s="96"/>
      <c r="F155" s="147"/>
      <c r="G155" s="274"/>
      <c r="H155" s="91"/>
    </row>
    <row r="156" spans="1:12" s="38" customFormat="1" x14ac:dyDescent="0.2">
      <c r="E156" s="96"/>
      <c r="F156" s="144"/>
      <c r="G156" s="100"/>
      <c r="H156" s="100"/>
    </row>
    <row r="157" spans="1:12" ht="15" customHeight="1" thickBot="1" x14ac:dyDescent="0.3">
      <c r="A157" s="80" t="s">
        <v>424</v>
      </c>
      <c r="E157" s="81" t="s">
        <v>18</v>
      </c>
      <c r="F157" s="30"/>
      <c r="G157" s="162"/>
      <c r="H157" s="317"/>
      <c r="I157" s="318"/>
      <c r="J157" s="318"/>
      <c r="K157" s="318"/>
      <c r="L157" s="59"/>
    </row>
    <row r="158" spans="1:12" ht="18" customHeight="1" thickTop="1" thickBot="1" x14ac:dyDescent="0.25">
      <c r="A158" s="82" t="s">
        <v>5</v>
      </c>
      <c r="B158" s="83" t="s">
        <v>0</v>
      </c>
      <c r="C158" s="84" t="s">
        <v>1</v>
      </c>
      <c r="D158" s="85" t="s">
        <v>4</v>
      </c>
      <c r="E158" s="86" t="s">
        <v>6</v>
      </c>
      <c r="F158" s="30"/>
      <c r="G158" s="162"/>
      <c r="H158" s="30"/>
      <c r="L158" s="59"/>
    </row>
    <row r="159" spans="1:12" s="139" customFormat="1" ht="15.75" thickTop="1" x14ac:dyDescent="0.2">
      <c r="A159" s="87" t="s">
        <v>11</v>
      </c>
      <c r="B159" s="88">
        <f>SUM(B160:B161)</f>
        <v>0</v>
      </c>
      <c r="C159" s="88">
        <f>SUM(C160:C161)</f>
        <v>258341</v>
      </c>
      <c r="D159" s="88">
        <f>SUM(D160:D161)</f>
        <v>236019.52000000002</v>
      </c>
      <c r="E159" s="137">
        <f>D159/C159*100</f>
        <v>91.359683519069762</v>
      </c>
      <c r="F159" s="138" t="s">
        <v>2</v>
      </c>
      <c r="G159" s="163"/>
      <c r="L159" s="59"/>
    </row>
    <row r="160" spans="1:12" s="139" customFormat="1" x14ac:dyDescent="0.2">
      <c r="A160" s="336" t="s">
        <v>177</v>
      </c>
      <c r="B160" s="341">
        <v>0</v>
      </c>
      <c r="C160" s="343">
        <v>109000</v>
      </c>
      <c r="D160" s="343">
        <v>86678.52</v>
      </c>
      <c r="E160" s="90">
        <f>D160/C160*100</f>
        <v>79.521577981651376</v>
      </c>
      <c r="F160" s="281">
        <v>100130</v>
      </c>
      <c r="G160" s="163"/>
      <c r="L160" s="59"/>
    </row>
    <row r="161" spans="1:12" s="139" customFormat="1" ht="13.5" thickBot="1" x14ac:dyDescent="0.25">
      <c r="A161" s="338" t="s">
        <v>402</v>
      </c>
      <c r="B161" s="339">
        <v>0</v>
      </c>
      <c r="C161" s="342">
        <v>149341</v>
      </c>
      <c r="D161" s="339">
        <v>149341</v>
      </c>
      <c r="E161" s="340">
        <f>D161/C161*100</f>
        <v>100</v>
      </c>
      <c r="F161" s="265">
        <v>0</v>
      </c>
      <c r="G161" s="315" t="s">
        <v>157</v>
      </c>
      <c r="L161" s="59"/>
    </row>
    <row r="162" spans="1:12" s="38" customFormat="1" ht="13.5" thickTop="1" x14ac:dyDescent="0.2">
      <c r="E162" s="96"/>
      <c r="F162" s="144"/>
      <c r="G162" s="100"/>
    </row>
    <row r="163" spans="1:12" s="37" customFormat="1" ht="18.75" thickBot="1" x14ac:dyDescent="0.3">
      <c r="A163" s="106" t="s">
        <v>32</v>
      </c>
      <c r="B163" s="107">
        <f>SUM(,B120,B159)</f>
        <v>59426000</v>
      </c>
      <c r="C163" s="107">
        <f>SUM(,C120,C159)</f>
        <v>41389829.710000008</v>
      </c>
      <c r="D163" s="107">
        <f>SUM(,D120,D159)</f>
        <v>38046475.480000012</v>
      </c>
      <c r="E163" s="108">
        <f>D163/C163*100</f>
        <v>91.922280779057601</v>
      </c>
      <c r="F163" s="172"/>
      <c r="G163" s="109"/>
      <c r="H163" s="109"/>
    </row>
    <row r="164" spans="1:12" s="38" customFormat="1" ht="13.5" thickTop="1" x14ac:dyDescent="0.2">
      <c r="E164" s="96"/>
      <c r="F164" s="144"/>
      <c r="G164" s="100"/>
      <c r="H164" s="100"/>
    </row>
    <row r="165" spans="1:12" s="38" customFormat="1" x14ac:dyDescent="0.2">
      <c r="E165" s="96"/>
      <c r="F165" s="144"/>
      <c r="G165" s="100"/>
      <c r="H165" s="100"/>
    </row>
    <row r="166" spans="1:12" s="38" customFormat="1" x14ac:dyDescent="0.2">
      <c r="E166" s="96"/>
      <c r="F166" s="144"/>
      <c r="G166" s="100"/>
      <c r="H166" s="100"/>
    </row>
    <row r="167" spans="1:12" ht="15" customHeight="1" x14ac:dyDescent="0.25">
      <c r="A167" s="77" t="s">
        <v>47</v>
      </c>
    </row>
    <row r="168" spans="1:12" ht="15" customHeight="1" thickBot="1" x14ac:dyDescent="0.3">
      <c r="A168" s="80" t="s">
        <v>25</v>
      </c>
      <c r="E168" s="81" t="s">
        <v>18</v>
      </c>
    </row>
    <row r="169" spans="1:12" ht="14.25" thickTop="1" thickBot="1" x14ac:dyDescent="0.25">
      <c r="A169" s="82" t="s">
        <v>5</v>
      </c>
      <c r="B169" s="83" t="s">
        <v>0</v>
      </c>
      <c r="C169" s="84" t="s">
        <v>1</v>
      </c>
      <c r="D169" s="85" t="s">
        <v>4</v>
      </c>
      <c r="E169" s="86" t="s">
        <v>6</v>
      </c>
    </row>
    <row r="170" spans="1:12" ht="15.75" thickTop="1" x14ac:dyDescent="0.2">
      <c r="A170" s="87" t="s">
        <v>8</v>
      </c>
      <c r="B170" s="112">
        <f>SUM(B171:B177)</f>
        <v>5520000</v>
      </c>
      <c r="C170" s="112">
        <f t="shared" ref="C170:D170" si="12">SUM(C171:C177)</f>
        <v>3282953.48</v>
      </c>
      <c r="D170" s="112">
        <f t="shared" si="12"/>
        <v>2444709.2000000002</v>
      </c>
      <c r="E170" s="102">
        <f>D170/C170*100</f>
        <v>74.466763385267342</v>
      </c>
      <c r="F170" s="78"/>
    </row>
    <row r="171" spans="1:12" s="76" customFormat="1" x14ac:dyDescent="0.2">
      <c r="A171" s="512" t="s">
        <v>120</v>
      </c>
      <c r="B171" s="116">
        <v>0</v>
      </c>
      <c r="C171" s="352">
        <v>23983</v>
      </c>
      <c r="D171" s="349">
        <v>23982.2</v>
      </c>
      <c r="E171" s="90">
        <f t="shared" ref="E171:E177" si="13">D171/C171*100</f>
        <v>99.996664303881914</v>
      </c>
      <c r="F171" s="147">
        <v>100657</v>
      </c>
      <c r="G171" s="275" t="s">
        <v>71</v>
      </c>
      <c r="H171" s="71"/>
    </row>
    <row r="172" spans="1:12" s="76" customFormat="1" x14ac:dyDescent="0.2">
      <c r="A172" s="53" t="s">
        <v>106</v>
      </c>
      <c r="B172" s="116">
        <v>0</v>
      </c>
      <c r="C172" s="352">
        <v>62400</v>
      </c>
      <c r="D172" s="349">
        <v>61710</v>
      </c>
      <c r="E172" s="90">
        <f t="shared" si="13"/>
        <v>98.894230769230774</v>
      </c>
      <c r="F172" s="147">
        <v>100768</v>
      </c>
      <c r="G172" s="275" t="s">
        <v>71</v>
      </c>
      <c r="H172" s="71"/>
    </row>
    <row r="173" spans="1:12" s="76" customFormat="1" ht="25.5" x14ac:dyDescent="0.2">
      <c r="A173" s="356" t="s">
        <v>285</v>
      </c>
      <c r="B173" s="117">
        <v>0</v>
      </c>
      <c r="C173" s="344">
        <v>395400</v>
      </c>
      <c r="D173" s="337">
        <v>395400</v>
      </c>
      <c r="E173" s="90">
        <f t="shared" si="13"/>
        <v>100</v>
      </c>
      <c r="F173" s="143">
        <v>100769</v>
      </c>
      <c r="G173" s="275" t="s">
        <v>71</v>
      </c>
      <c r="H173" s="71"/>
    </row>
    <row r="174" spans="1:12" s="76" customFormat="1" x14ac:dyDescent="0.2">
      <c r="A174" s="53" t="s">
        <v>348</v>
      </c>
      <c r="B174" s="116">
        <v>2920000</v>
      </c>
      <c r="C174" s="352">
        <v>410000</v>
      </c>
      <c r="D174" s="349">
        <v>316884</v>
      </c>
      <c r="E174" s="90">
        <f t="shared" si="13"/>
        <v>77.288780487804871</v>
      </c>
      <c r="F174" s="147">
        <v>100771</v>
      </c>
      <c r="G174" s="275" t="s">
        <v>71</v>
      </c>
      <c r="H174" s="71"/>
    </row>
    <row r="175" spans="1:12" s="76" customFormat="1" x14ac:dyDescent="0.2">
      <c r="A175" s="53" t="s">
        <v>180</v>
      </c>
      <c r="B175" s="116">
        <v>100000</v>
      </c>
      <c r="C175" s="352">
        <v>17</v>
      </c>
      <c r="D175" s="349">
        <v>0</v>
      </c>
      <c r="E175" s="90">
        <f t="shared" si="13"/>
        <v>0</v>
      </c>
      <c r="F175" s="147">
        <v>100810</v>
      </c>
      <c r="G175" s="275" t="s">
        <v>71</v>
      </c>
      <c r="H175" s="71"/>
    </row>
    <row r="176" spans="1:12" s="76" customFormat="1" x14ac:dyDescent="0.2">
      <c r="A176" s="53" t="s">
        <v>181</v>
      </c>
      <c r="B176" s="116">
        <v>500000</v>
      </c>
      <c r="C176" s="352">
        <v>391153.48</v>
      </c>
      <c r="D176" s="349">
        <v>9000</v>
      </c>
      <c r="E176" s="90">
        <f t="shared" si="13"/>
        <v>2.3008871095816406</v>
      </c>
      <c r="F176" s="147">
        <v>100811</v>
      </c>
      <c r="G176" s="275" t="s">
        <v>71</v>
      </c>
      <c r="H176" s="71"/>
    </row>
    <row r="177" spans="1:11" s="76" customFormat="1" ht="13.5" thickBot="1" x14ac:dyDescent="0.25">
      <c r="A177" s="345" t="s">
        <v>415</v>
      </c>
      <c r="B177" s="346">
        <v>2000000</v>
      </c>
      <c r="C177" s="351">
        <v>2000000</v>
      </c>
      <c r="D177" s="351">
        <v>1637733</v>
      </c>
      <c r="E177" s="340">
        <f t="shared" si="13"/>
        <v>81.886650000000003</v>
      </c>
      <c r="F177" s="147">
        <v>100571</v>
      </c>
      <c r="G177" s="523" t="s">
        <v>411</v>
      </c>
      <c r="H177" s="71"/>
    </row>
    <row r="178" spans="1:11" ht="13.5" thickTop="1" x14ac:dyDescent="0.2">
      <c r="A178" s="110"/>
      <c r="B178" s="111"/>
      <c r="C178" s="113"/>
      <c r="D178" s="113"/>
      <c r="E178" s="96"/>
      <c r="F178" s="78"/>
    </row>
    <row r="179" spans="1:11" ht="15" customHeight="1" thickBot="1" x14ac:dyDescent="0.25">
      <c r="A179" s="101" t="s">
        <v>49</v>
      </c>
      <c r="E179" s="81" t="s">
        <v>18</v>
      </c>
    </row>
    <row r="180" spans="1:11" ht="14.25" thickTop="1" thickBot="1" x14ac:dyDescent="0.25">
      <c r="A180" s="82" t="s">
        <v>5</v>
      </c>
      <c r="B180" s="83" t="s">
        <v>0</v>
      </c>
      <c r="C180" s="84" t="s">
        <v>1</v>
      </c>
      <c r="D180" s="85" t="s">
        <v>4</v>
      </c>
      <c r="E180" s="86" t="s">
        <v>6</v>
      </c>
    </row>
    <row r="181" spans="1:11" ht="15.75" thickTop="1" x14ac:dyDescent="0.2">
      <c r="A181" s="87" t="s">
        <v>8</v>
      </c>
      <c r="B181" s="259">
        <f>SUM(B182:B190)</f>
        <v>3800000</v>
      </c>
      <c r="C181" s="259">
        <f>SUM(C182:C190)</f>
        <v>5695937.29</v>
      </c>
      <c r="D181" s="259">
        <f>SUM(D182:D190)</f>
        <v>5695937.29</v>
      </c>
      <c r="E181" s="102">
        <f t="shared" ref="E181:E189" si="14">D181/C181*100</f>
        <v>100</v>
      </c>
      <c r="F181" s="78"/>
    </row>
    <row r="182" spans="1:11" x14ac:dyDescent="0.2">
      <c r="A182" s="336" t="s">
        <v>387</v>
      </c>
      <c r="B182" s="337">
        <v>0</v>
      </c>
      <c r="C182" s="344">
        <v>250000</v>
      </c>
      <c r="D182" s="344">
        <v>250000</v>
      </c>
      <c r="E182" s="90">
        <f t="shared" si="14"/>
        <v>100</v>
      </c>
      <c r="F182" s="147">
        <v>1602</v>
      </c>
      <c r="G182" s="282" t="s">
        <v>382</v>
      </c>
    </row>
    <row r="183" spans="1:11" ht="25.5" x14ac:dyDescent="0.2">
      <c r="A183" s="350" t="s">
        <v>384</v>
      </c>
      <c r="B183" s="337">
        <v>0</v>
      </c>
      <c r="C183" s="344">
        <v>300000</v>
      </c>
      <c r="D183" s="344">
        <v>300000</v>
      </c>
      <c r="E183" s="90">
        <f t="shared" si="14"/>
        <v>100</v>
      </c>
      <c r="F183" s="147">
        <v>1602</v>
      </c>
      <c r="G183" s="282" t="s">
        <v>383</v>
      </c>
    </row>
    <row r="184" spans="1:11" x14ac:dyDescent="0.2">
      <c r="A184" s="336" t="s">
        <v>385</v>
      </c>
      <c r="B184" s="337">
        <v>0</v>
      </c>
      <c r="C184" s="344">
        <v>300000</v>
      </c>
      <c r="D184" s="344">
        <v>300000</v>
      </c>
      <c r="E184" s="90">
        <f t="shared" si="14"/>
        <v>100</v>
      </c>
      <c r="F184" s="147">
        <v>1602</v>
      </c>
      <c r="G184" s="282" t="s">
        <v>383</v>
      </c>
    </row>
    <row r="185" spans="1:11" x14ac:dyDescent="0.2">
      <c r="A185" s="336" t="s">
        <v>389</v>
      </c>
      <c r="B185" s="337">
        <v>0</v>
      </c>
      <c r="C185" s="344">
        <v>336700</v>
      </c>
      <c r="D185" s="344">
        <v>336700</v>
      </c>
      <c r="E185" s="90">
        <f t="shared" si="14"/>
        <v>100</v>
      </c>
      <c r="F185" s="147">
        <v>1602</v>
      </c>
      <c r="G185" s="282" t="s">
        <v>380</v>
      </c>
    </row>
    <row r="186" spans="1:11" x14ac:dyDescent="0.2">
      <c r="A186" s="489" t="s">
        <v>378</v>
      </c>
      <c r="B186" s="337">
        <v>0</v>
      </c>
      <c r="C186" s="344">
        <v>77000</v>
      </c>
      <c r="D186" s="344">
        <v>77000</v>
      </c>
      <c r="E186" s="90">
        <f t="shared" si="14"/>
        <v>100</v>
      </c>
      <c r="F186" s="147">
        <v>1602</v>
      </c>
      <c r="G186" s="282" t="s">
        <v>379</v>
      </c>
    </row>
    <row r="187" spans="1:11" s="59" customFormat="1" ht="25.5" x14ac:dyDescent="0.2">
      <c r="A187" s="94" t="s">
        <v>374</v>
      </c>
      <c r="B187" s="485">
        <v>3500000</v>
      </c>
      <c r="C187" s="117">
        <f>3500000+150000</f>
        <v>3650000</v>
      </c>
      <c r="D187" s="341">
        <f>710270+2789730+150000</f>
        <v>3650000</v>
      </c>
      <c r="E187" s="90">
        <f t="shared" si="14"/>
        <v>100</v>
      </c>
      <c r="F187" s="143">
        <v>1604</v>
      </c>
      <c r="G187" s="282" t="s">
        <v>349</v>
      </c>
      <c r="H187" s="79"/>
    </row>
    <row r="188" spans="1:11" s="59" customFormat="1" x14ac:dyDescent="0.2">
      <c r="A188" s="94" t="s">
        <v>386</v>
      </c>
      <c r="B188" s="481">
        <v>0</v>
      </c>
      <c r="C188" s="116">
        <f>382237.29</f>
        <v>382237.29</v>
      </c>
      <c r="D188" s="343">
        <f>382237.29</f>
        <v>382237.29</v>
      </c>
      <c r="E188" s="90">
        <f t="shared" si="14"/>
        <v>100</v>
      </c>
      <c r="F188" s="147">
        <v>1606</v>
      </c>
      <c r="G188" s="282" t="s">
        <v>126</v>
      </c>
      <c r="H188" s="79"/>
    </row>
    <row r="189" spans="1:11" s="59" customFormat="1" x14ac:dyDescent="0.2">
      <c r="A189" s="94" t="s">
        <v>390</v>
      </c>
      <c r="B189" s="481">
        <v>0</v>
      </c>
      <c r="C189" s="116">
        <v>100000</v>
      </c>
      <c r="D189" s="343">
        <v>100000</v>
      </c>
      <c r="E189" s="90">
        <f t="shared" si="14"/>
        <v>100</v>
      </c>
      <c r="F189" s="147">
        <v>1607</v>
      </c>
      <c r="G189" s="282" t="s">
        <v>377</v>
      </c>
      <c r="H189" s="79"/>
    </row>
    <row r="190" spans="1:11" s="59" customFormat="1" ht="13.5" thickBot="1" x14ac:dyDescent="0.25">
      <c r="A190" s="490" t="s">
        <v>388</v>
      </c>
      <c r="B190" s="482">
        <v>300000</v>
      </c>
      <c r="C190" s="353">
        <v>300000</v>
      </c>
      <c r="D190" s="346">
        <v>300000</v>
      </c>
      <c r="E190" s="340">
        <f t="shared" ref="E190" si="15">D190/C190*100</f>
        <v>100</v>
      </c>
      <c r="F190" s="147">
        <v>1608</v>
      </c>
      <c r="G190" s="282" t="s">
        <v>381</v>
      </c>
      <c r="H190" s="79"/>
    </row>
    <row r="191" spans="1:11" s="38" customFormat="1" ht="13.5" thickTop="1" x14ac:dyDescent="0.2">
      <c r="B191" s="158"/>
      <c r="C191" s="158"/>
      <c r="D191" s="158"/>
      <c r="E191" s="96"/>
      <c r="F191" s="144"/>
      <c r="G191" s="100"/>
      <c r="H191" s="275" t="s">
        <v>71</v>
      </c>
      <c r="I191" s="494">
        <f>SUM(B171:B176)</f>
        <v>3520000</v>
      </c>
      <c r="J191" s="494">
        <f>SUM(C171:C176)</f>
        <v>1282953.48</v>
      </c>
      <c r="K191" s="494">
        <f>SUM(D171:D176)</f>
        <v>806976.2</v>
      </c>
    </row>
    <row r="192" spans="1:11" s="38" customFormat="1" x14ac:dyDescent="0.2">
      <c r="B192" s="158"/>
      <c r="C192" s="158"/>
      <c r="D192" s="158"/>
      <c r="E192" s="96"/>
      <c r="F192" s="144"/>
      <c r="G192" s="100"/>
      <c r="H192" s="282" t="s">
        <v>126</v>
      </c>
      <c r="I192" s="310">
        <f>SUM(B182:B190)</f>
        <v>3800000</v>
      </c>
      <c r="J192" s="310">
        <f>SUM(C182:C190)</f>
        <v>5695937.29</v>
      </c>
      <c r="K192" s="310">
        <f>SUM(D182:D190)</f>
        <v>5695937.29</v>
      </c>
    </row>
    <row r="193" spans="1:11" s="38" customFormat="1" x14ac:dyDescent="0.2">
      <c r="B193" s="158"/>
      <c r="C193" s="158"/>
      <c r="D193" s="158"/>
      <c r="E193" s="96"/>
      <c r="F193" s="144"/>
      <c r="G193" s="100"/>
      <c r="H193" s="523" t="s">
        <v>158</v>
      </c>
      <c r="I193" s="527">
        <f>B177</f>
        <v>2000000</v>
      </c>
      <c r="J193" s="527">
        <f t="shared" ref="J193:K193" si="16">C177</f>
        <v>2000000</v>
      </c>
      <c r="K193" s="527">
        <f t="shared" si="16"/>
        <v>1637733</v>
      </c>
    </row>
    <row r="194" spans="1:11" s="37" customFormat="1" ht="18.75" thickBot="1" x14ac:dyDescent="0.3">
      <c r="A194" s="106" t="s">
        <v>30</v>
      </c>
      <c r="B194" s="107">
        <f>SUM(B181,B170)</f>
        <v>9320000</v>
      </c>
      <c r="C194" s="107">
        <f>SUM(C181,C170)</f>
        <v>8978890.7699999996</v>
      </c>
      <c r="D194" s="107">
        <f>SUM(D181,D170)</f>
        <v>8140646.4900000002</v>
      </c>
      <c r="E194" s="108">
        <f>D194/C194*100</f>
        <v>90.664278010812694</v>
      </c>
      <c r="F194" s="175"/>
      <c r="G194" s="109"/>
      <c r="I194" s="307">
        <f>SUM(I191:I193)</f>
        <v>9320000</v>
      </c>
      <c r="J194" s="307">
        <f t="shared" ref="J194:K194" si="17">SUM(J191:J193)</f>
        <v>8978890.7699999996</v>
      </c>
      <c r="K194" s="307">
        <f t="shared" si="17"/>
        <v>8140646.4900000002</v>
      </c>
    </row>
    <row r="195" spans="1:11" s="38" customFormat="1" ht="13.5" thickTop="1" x14ac:dyDescent="0.2">
      <c r="E195" s="96"/>
      <c r="F195" s="144"/>
      <c r="G195" s="100"/>
    </row>
    <row r="196" spans="1:11" s="38" customFormat="1" x14ac:dyDescent="0.2">
      <c r="E196" s="96"/>
      <c r="F196" s="144"/>
      <c r="G196" s="100"/>
    </row>
    <row r="197" spans="1:11" ht="15" customHeight="1" x14ac:dyDescent="0.25">
      <c r="A197" s="77" t="s">
        <v>53</v>
      </c>
    </row>
    <row r="198" spans="1:11" ht="15" customHeight="1" thickBot="1" x14ac:dyDescent="0.3">
      <c r="A198" s="80" t="s">
        <v>292</v>
      </c>
      <c r="E198" s="81" t="s">
        <v>18</v>
      </c>
    </row>
    <row r="199" spans="1:11" ht="14.25" thickTop="1" thickBot="1" x14ac:dyDescent="0.25">
      <c r="A199" s="82" t="s">
        <v>5</v>
      </c>
      <c r="B199" s="83" t="s">
        <v>0</v>
      </c>
      <c r="C199" s="84" t="s">
        <v>1</v>
      </c>
      <c r="D199" s="85" t="s">
        <v>4</v>
      </c>
      <c r="E199" s="86" t="s">
        <v>6</v>
      </c>
    </row>
    <row r="200" spans="1:11" ht="15.75" thickTop="1" x14ac:dyDescent="0.2">
      <c r="A200" s="87" t="s">
        <v>10</v>
      </c>
      <c r="B200" s="112">
        <f>SUM(B201:B213)</f>
        <v>400000</v>
      </c>
      <c r="C200" s="112">
        <f>SUM(C201:C213)</f>
        <v>8180230</v>
      </c>
      <c r="D200" s="112">
        <f>SUM(D201:D213)</f>
        <v>6192344.8999999994</v>
      </c>
      <c r="E200" s="137">
        <f>D200/C200*100</f>
        <v>75.698909443866498</v>
      </c>
      <c r="F200" s="78"/>
    </row>
    <row r="201" spans="1:11" s="161" customFormat="1" ht="25.5" x14ac:dyDescent="0.2">
      <c r="A201" s="94" t="s">
        <v>108</v>
      </c>
      <c r="B201" s="117">
        <v>0</v>
      </c>
      <c r="C201" s="117">
        <v>493000</v>
      </c>
      <c r="D201" s="117">
        <v>482216.26</v>
      </c>
      <c r="E201" s="90">
        <f t="shared" ref="E201:E213" si="18">D201/C201*100</f>
        <v>97.812628803245445</v>
      </c>
      <c r="F201" s="480">
        <v>100783</v>
      </c>
      <c r="G201" s="275" t="s">
        <v>71</v>
      </c>
      <c r="H201" s="160"/>
    </row>
    <row r="202" spans="1:11" s="119" customFormat="1" x14ac:dyDescent="0.2">
      <c r="A202" s="94" t="s">
        <v>355</v>
      </c>
      <c r="B202" s="341">
        <v>0</v>
      </c>
      <c r="C202" s="117">
        <v>550000</v>
      </c>
      <c r="D202" s="117">
        <v>434739.5</v>
      </c>
      <c r="E202" s="90">
        <f t="shared" si="18"/>
        <v>79.043545454545452</v>
      </c>
      <c r="F202" s="159">
        <v>100132</v>
      </c>
      <c r="G202" s="274" t="s">
        <v>66</v>
      </c>
      <c r="H202" s="118"/>
    </row>
    <row r="203" spans="1:11" s="119" customFormat="1" ht="25.5" x14ac:dyDescent="0.2">
      <c r="A203" s="94" t="s">
        <v>182</v>
      </c>
      <c r="B203" s="341">
        <v>0</v>
      </c>
      <c r="C203" s="341">
        <v>137940</v>
      </c>
      <c r="D203" s="341">
        <v>137940</v>
      </c>
      <c r="E203" s="90">
        <f t="shared" si="18"/>
        <v>100</v>
      </c>
      <c r="F203" s="159">
        <v>100664</v>
      </c>
      <c r="G203" s="274" t="s">
        <v>66</v>
      </c>
      <c r="H203" s="118"/>
    </row>
    <row r="204" spans="1:11" s="119" customFormat="1" x14ac:dyDescent="0.2">
      <c r="A204" s="94" t="s">
        <v>183</v>
      </c>
      <c r="B204" s="341">
        <v>0</v>
      </c>
      <c r="C204" s="117">
        <v>159234</v>
      </c>
      <c r="D204" s="117">
        <v>159234</v>
      </c>
      <c r="E204" s="90">
        <f t="shared" si="18"/>
        <v>100</v>
      </c>
      <c r="F204" s="159">
        <v>100665</v>
      </c>
      <c r="G204" s="274" t="s">
        <v>66</v>
      </c>
      <c r="H204" s="275" t="s">
        <v>71</v>
      </c>
      <c r="I204" s="497">
        <f>SUM(B201,B216:B221)</f>
        <v>27879000</v>
      </c>
      <c r="J204" s="497">
        <f>SUM(C201,C216:C221)</f>
        <v>39199882</v>
      </c>
      <c r="K204" s="497">
        <f>SUM(D201,D216:D221)</f>
        <v>9260250.1600000001</v>
      </c>
    </row>
    <row r="205" spans="1:11" s="119" customFormat="1" ht="25.5" x14ac:dyDescent="0.2">
      <c r="A205" s="94" t="s">
        <v>184</v>
      </c>
      <c r="B205" s="341">
        <v>0</v>
      </c>
      <c r="C205" s="117">
        <v>118883</v>
      </c>
      <c r="D205" s="117">
        <v>112833</v>
      </c>
      <c r="E205" s="90">
        <f t="shared" si="18"/>
        <v>94.910962879469736</v>
      </c>
      <c r="F205" s="159">
        <v>100666</v>
      </c>
      <c r="G205" s="274" t="s">
        <v>66</v>
      </c>
      <c r="H205" s="498" t="s">
        <v>66</v>
      </c>
      <c r="I205" s="499">
        <f>SUM(B202:B208)</f>
        <v>0</v>
      </c>
      <c r="J205" s="499">
        <f t="shared" ref="J205:K205" si="19">SUM(C202:C208)</f>
        <v>1360007</v>
      </c>
      <c r="K205" s="499">
        <f t="shared" si="19"/>
        <v>952436.5</v>
      </c>
    </row>
    <row r="206" spans="1:11" s="119" customFormat="1" x14ac:dyDescent="0.2">
      <c r="A206" s="94" t="s">
        <v>416</v>
      </c>
      <c r="B206" s="341">
        <v>0</v>
      </c>
      <c r="C206" s="117">
        <v>100000</v>
      </c>
      <c r="D206" s="117">
        <v>0</v>
      </c>
      <c r="E206" s="90">
        <f t="shared" si="18"/>
        <v>0</v>
      </c>
      <c r="F206" s="159">
        <v>100826</v>
      </c>
      <c r="G206" s="274" t="s">
        <v>66</v>
      </c>
      <c r="H206" s="317" t="s">
        <v>158</v>
      </c>
      <c r="I206" s="500">
        <f>SUM(B212:B213)</f>
        <v>100000</v>
      </c>
      <c r="J206" s="500">
        <f t="shared" ref="J206:K206" si="20">SUM(C212:C213)</f>
        <v>6027223</v>
      </c>
      <c r="K206" s="500">
        <f t="shared" si="20"/>
        <v>4757692.1399999997</v>
      </c>
    </row>
    <row r="207" spans="1:11" s="119" customFormat="1" ht="14.25" x14ac:dyDescent="0.2">
      <c r="A207" s="94" t="s">
        <v>356</v>
      </c>
      <c r="B207" s="341">
        <v>0</v>
      </c>
      <c r="C207" s="117">
        <v>150000</v>
      </c>
      <c r="D207" s="117">
        <v>107690</v>
      </c>
      <c r="E207" s="90">
        <f t="shared" si="18"/>
        <v>71.793333333333337</v>
      </c>
      <c r="F207" s="159">
        <v>100832</v>
      </c>
      <c r="G207" s="274" t="s">
        <v>66</v>
      </c>
      <c r="H207" s="118"/>
      <c r="I207" s="496">
        <f>SUM(I204:I206)</f>
        <v>27979000</v>
      </c>
      <c r="J207" s="496">
        <f>SUM(J204:J206)</f>
        <v>46587112</v>
      </c>
      <c r="K207" s="496">
        <f t="shared" ref="K207" si="21">SUM(K204:K206)</f>
        <v>14970378.800000001</v>
      </c>
    </row>
    <row r="208" spans="1:11" s="119" customFormat="1" x14ac:dyDescent="0.2">
      <c r="A208" s="94" t="s">
        <v>357</v>
      </c>
      <c r="B208" s="341">
        <v>0</v>
      </c>
      <c r="C208" s="117">
        <v>143950</v>
      </c>
      <c r="D208" s="117">
        <v>0</v>
      </c>
      <c r="E208" s="90">
        <f t="shared" si="18"/>
        <v>0</v>
      </c>
      <c r="F208" s="159">
        <v>100833</v>
      </c>
      <c r="G208" s="274" t="s">
        <v>66</v>
      </c>
      <c r="H208" s="118"/>
    </row>
    <row r="209" spans="1:11" s="119" customFormat="1" ht="25.5" x14ac:dyDescent="0.2">
      <c r="A209" s="94" t="s">
        <v>182</v>
      </c>
      <c r="B209" s="341">
        <v>100000</v>
      </c>
      <c r="C209" s="117">
        <v>100000</v>
      </c>
      <c r="D209" s="117">
        <v>0</v>
      </c>
      <c r="E209" s="90">
        <f t="shared" si="18"/>
        <v>0</v>
      </c>
      <c r="F209" s="159">
        <v>100664</v>
      </c>
      <c r="G209" s="528" t="s">
        <v>297</v>
      </c>
      <c r="H209" s="118"/>
    </row>
    <row r="210" spans="1:11" s="119" customFormat="1" x14ac:dyDescent="0.2">
      <c r="A210" s="94" t="s">
        <v>183</v>
      </c>
      <c r="B210" s="341">
        <v>100000</v>
      </c>
      <c r="C210" s="117">
        <v>100000</v>
      </c>
      <c r="D210" s="117">
        <v>0</v>
      </c>
      <c r="E210" s="90">
        <f t="shared" si="18"/>
        <v>0</v>
      </c>
      <c r="F210" s="159">
        <v>100665</v>
      </c>
      <c r="G210" s="528" t="s">
        <v>297</v>
      </c>
      <c r="H210" s="118"/>
    </row>
    <row r="211" spans="1:11" s="119" customFormat="1" ht="25.5" x14ac:dyDescent="0.2">
      <c r="A211" s="94" t="s">
        <v>184</v>
      </c>
      <c r="B211" s="341">
        <v>100000</v>
      </c>
      <c r="C211" s="117">
        <v>100000</v>
      </c>
      <c r="D211" s="117">
        <v>0</v>
      </c>
      <c r="E211" s="90">
        <f t="shared" si="18"/>
        <v>0</v>
      </c>
      <c r="F211" s="159">
        <v>100666</v>
      </c>
      <c r="G211" s="528" t="s">
        <v>297</v>
      </c>
      <c r="H211" s="118"/>
    </row>
    <row r="212" spans="1:11" s="119" customFormat="1" x14ac:dyDescent="0.2">
      <c r="A212" s="94" t="s">
        <v>417</v>
      </c>
      <c r="B212" s="341">
        <v>100000</v>
      </c>
      <c r="C212" s="117">
        <v>4639223</v>
      </c>
      <c r="D212" s="117">
        <v>4625318.34</v>
      </c>
      <c r="E212" s="90">
        <f t="shared" si="18"/>
        <v>99.700280413336458</v>
      </c>
      <c r="F212" s="159">
        <v>100670</v>
      </c>
      <c r="G212" s="317" t="s">
        <v>419</v>
      </c>
      <c r="H212" s="167"/>
      <c r="I212" s="167"/>
    </row>
    <row r="213" spans="1:11" s="119" customFormat="1" x14ac:dyDescent="0.2">
      <c r="A213" s="94" t="s">
        <v>356</v>
      </c>
      <c r="B213" s="341">
        <v>0</v>
      </c>
      <c r="C213" s="117">
        <v>1388000</v>
      </c>
      <c r="D213" s="117">
        <v>132373.79999999999</v>
      </c>
      <c r="E213" s="90">
        <f t="shared" si="18"/>
        <v>9.5370172910662809</v>
      </c>
      <c r="F213" s="159">
        <v>100832</v>
      </c>
      <c r="G213" s="317" t="s">
        <v>158</v>
      </c>
      <c r="H213" s="167"/>
      <c r="I213" s="167"/>
    </row>
    <row r="214" spans="1:11" s="119" customFormat="1" x14ac:dyDescent="0.2">
      <c r="A214" s="94"/>
      <c r="B214" s="114"/>
      <c r="C214" s="117"/>
      <c r="D214" s="117"/>
      <c r="E214" s="90"/>
      <c r="F214" s="159"/>
      <c r="G214" s="118"/>
      <c r="H214" s="118"/>
    </row>
    <row r="215" spans="1:11" ht="15" x14ac:dyDescent="0.2">
      <c r="A215" s="87" t="s">
        <v>54</v>
      </c>
      <c r="B215" s="112">
        <f>SUM(B216:B221)</f>
        <v>27879000</v>
      </c>
      <c r="C215" s="112">
        <f>SUM(C216:C221)</f>
        <v>38706882</v>
      </c>
      <c r="D215" s="112">
        <f>SUM(D216:D221)</f>
        <v>8778033.9000000004</v>
      </c>
      <c r="E215" s="137">
        <f t="shared" ref="E215:E221" si="22">D215/C215*100</f>
        <v>22.678225283038817</v>
      </c>
      <c r="F215" s="78"/>
    </row>
    <row r="216" spans="1:11" x14ac:dyDescent="0.2">
      <c r="A216" s="53" t="s">
        <v>418</v>
      </c>
      <c r="B216" s="116">
        <v>15694000</v>
      </c>
      <c r="C216" s="349">
        <v>10871777</v>
      </c>
      <c r="D216" s="349">
        <v>115392.9</v>
      </c>
      <c r="E216" s="90">
        <f t="shared" si="22"/>
        <v>1.0613987023464517</v>
      </c>
      <c r="F216" s="147">
        <v>100787</v>
      </c>
      <c r="G216" s="275" t="s">
        <v>71</v>
      </c>
    </row>
    <row r="217" spans="1:11" x14ac:dyDescent="0.2">
      <c r="A217" s="53" t="s">
        <v>350</v>
      </c>
      <c r="B217" s="116">
        <v>2985000</v>
      </c>
      <c r="C217" s="349">
        <v>18051105</v>
      </c>
      <c r="D217" s="349">
        <v>0</v>
      </c>
      <c r="E217" s="90">
        <f t="shared" si="22"/>
        <v>0</v>
      </c>
      <c r="F217" s="147">
        <v>100816</v>
      </c>
      <c r="G217" s="275" t="s">
        <v>71</v>
      </c>
    </row>
    <row r="218" spans="1:11" x14ac:dyDescent="0.2">
      <c r="A218" s="53" t="s">
        <v>351</v>
      </c>
      <c r="B218" s="116">
        <v>1600000</v>
      </c>
      <c r="C218" s="349">
        <v>1826000</v>
      </c>
      <c r="D218" s="349">
        <v>1700689</v>
      </c>
      <c r="E218" s="90">
        <f t="shared" si="22"/>
        <v>93.137404162102953</v>
      </c>
      <c r="F218" s="147">
        <v>100817</v>
      </c>
      <c r="G218" s="275" t="s">
        <v>71</v>
      </c>
    </row>
    <row r="219" spans="1:11" x14ac:dyDescent="0.2">
      <c r="A219" s="53" t="s">
        <v>352</v>
      </c>
      <c r="B219" s="116">
        <v>2900000</v>
      </c>
      <c r="C219" s="349">
        <v>3258000</v>
      </c>
      <c r="D219" s="349">
        <v>3016804</v>
      </c>
      <c r="E219" s="90">
        <f t="shared" si="22"/>
        <v>92.596807857581339</v>
      </c>
      <c r="F219" s="147">
        <v>100818</v>
      </c>
      <c r="G219" s="275" t="s">
        <v>71</v>
      </c>
    </row>
    <row r="220" spans="1:11" x14ac:dyDescent="0.2">
      <c r="A220" s="53" t="s">
        <v>353</v>
      </c>
      <c r="B220" s="116">
        <v>3200000</v>
      </c>
      <c r="C220" s="349">
        <v>3200000</v>
      </c>
      <c r="D220" s="349">
        <v>2976285</v>
      </c>
      <c r="E220" s="90">
        <f t="shared" si="22"/>
        <v>93.008906249999995</v>
      </c>
      <c r="F220" s="147">
        <v>100819</v>
      </c>
      <c r="G220" s="275" t="s">
        <v>71</v>
      </c>
    </row>
    <row r="221" spans="1:11" ht="13.5" thickBot="1" x14ac:dyDescent="0.25">
      <c r="A221" s="345" t="s">
        <v>354</v>
      </c>
      <c r="B221" s="346">
        <v>1500000</v>
      </c>
      <c r="C221" s="351">
        <v>1500000</v>
      </c>
      <c r="D221" s="351">
        <v>968863</v>
      </c>
      <c r="E221" s="340">
        <f t="shared" si="22"/>
        <v>64.59086666666667</v>
      </c>
      <c r="F221" s="147">
        <v>100820</v>
      </c>
      <c r="G221" s="275" t="s">
        <v>71</v>
      </c>
    </row>
    <row r="222" spans="1:11" s="38" customFormat="1" ht="13.5" thickTop="1" x14ac:dyDescent="0.2">
      <c r="E222" s="96"/>
      <c r="F222" s="144"/>
      <c r="G222" s="100"/>
      <c r="H222" s="100"/>
    </row>
    <row r="223" spans="1:11" s="38" customFormat="1" x14ac:dyDescent="0.2">
      <c r="B223" s="158"/>
      <c r="C223" s="158"/>
      <c r="D223" s="158"/>
      <c r="E223" s="96"/>
      <c r="F223" s="144"/>
      <c r="G223" s="100"/>
      <c r="H223" s="282"/>
      <c r="I223" s="310"/>
      <c r="J223" s="310"/>
      <c r="K223" s="310"/>
    </row>
    <row r="224" spans="1:11" s="37" customFormat="1" ht="18.75" thickBot="1" x14ac:dyDescent="0.3">
      <c r="A224" s="106" t="s">
        <v>31</v>
      </c>
      <c r="B224" s="107">
        <f>SUM(B215,B200)</f>
        <v>28279000</v>
      </c>
      <c r="C224" s="107">
        <f>SUM(C215,C200)</f>
        <v>46887112</v>
      </c>
      <c r="D224" s="107">
        <f>SUM(D215,D200)</f>
        <v>14970378.800000001</v>
      </c>
      <c r="E224" s="108">
        <f>D224/C224*100</f>
        <v>31.928558107822891</v>
      </c>
      <c r="F224" s="70"/>
      <c r="G224" s="109"/>
      <c r="H224" s="109"/>
    </row>
    <row r="225" spans="1:11" s="38" customFormat="1" ht="13.5" thickTop="1" x14ac:dyDescent="0.2">
      <c r="E225" s="96"/>
      <c r="F225" s="144"/>
      <c r="G225" s="100"/>
      <c r="H225" s="100"/>
    </row>
    <row r="226" spans="1:11" s="38" customFormat="1" x14ac:dyDescent="0.2">
      <c r="E226" s="96"/>
      <c r="F226" s="144"/>
      <c r="G226" s="100"/>
      <c r="H226" s="100"/>
    </row>
    <row r="227" spans="1:11" s="38" customFormat="1" x14ac:dyDescent="0.2">
      <c r="E227" s="96"/>
      <c r="F227" s="144"/>
      <c r="G227" s="100"/>
      <c r="H227" s="100"/>
    </row>
    <row r="228" spans="1:11" s="38" customFormat="1" x14ac:dyDescent="0.2">
      <c r="E228" s="96"/>
      <c r="F228" s="144"/>
      <c r="G228" s="100"/>
      <c r="H228" s="100"/>
    </row>
    <row r="229" spans="1:11" ht="15" customHeight="1" x14ac:dyDescent="0.25">
      <c r="A229" s="77" t="s">
        <v>358</v>
      </c>
      <c r="H229" s="166"/>
      <c r="I229" s="166"/>
    </row>
    <row r="230" spans="1:11" ht="15" customHeight="1" thickBot="1" x14ac:dyDescent="0.3">
      <c r="A230" s="80" t="s">
        <v>425</v>
      </c>
      <c r="E230" s="81" t="s">
        <v>18</v>
      </c>
      <c r="H230" s="166"/>
      <c r="I230" s="166"/>
    </row>
    <row r="231" spans="1:11" ht="14.25" thickTop="1" thickBot="1" x14ac:dyDescent="0.25">
      <c r="A231" s="82" t="s">
        <v>5</v>
      </c>
      <c r="B231" s="83" t="s">
        <v>0</v>
      </c>
      <c r="C231" s="84" t="s">
        <v>1</v>
      </c>
      <c r="D231" s="85" t="s">
        <v>4</v>
      </c>
      <c r="E231" s="86" t="s">
        <v>6</v>
      </c>
      <c r="H231" s="166"/>
      <c r="I231" s="166"/>
    </row>
    <row r="232" spans="1:11" ht="15.75" thickTop="1" x14ac:dyDescent="0.2">
      <c r="A232" s="87" t="s">
        <v>55</v>
      </c>
      <c r="B232" s="112">
        <f>SUM(B233:B233)</f>
        <v>0</v>
      </c>
      <c r="C232" s="112">
        <f>SUM(C233:C233)</f>
        <v>40000</v>
      </c>
      <c r="D232" s="112">
        <f>SUM(D233:D233)</f>
        <v>38000</v>
      </c>
      <c r="E232" s="102">
        <f t="shared" ref="E232:E236" si="23">D232/C232*100</f>
        <v>95</v>
      </c>
      <c r="F232" s="78"/>
      <c r="G232" s="79" t="s">
        <v>228</v>
      </c>
    </row>
    <row r="233" spans="1:11" s="104" customFormat="1" x14ac:dyDescent="0.2">
      <c r="A233" s="53" t="s">
        <v>375</v>
      </c>
      <c r="B233" s="343">
        <v>0</v>
      </c>
      <c r="C233" s="343">
        <v>40000</v>
      </c>
      <c r="D233" s="343">
        <v>38000</v>
      </c>
      <c r="E233" s="90">
        <f t="shared" si="23"/>
        <v>95</v>
      </c>
      <c r="F233" s="148" t="s">
        <v>187</v>
      </c>
      <c r="G233" s="103"/>
      <c r="H233" s="103"/>
    </row>
    <row r="234" spans="1:11" ht="15" hidden="1" x14ac:dyDescent="0.2">
      <c r="A234" s="87" t="s">
        <v>56</v>
      </c>
      <c r="B234" s="112">
        <f>SUM(B235:B236)</f>
        <v>0</v>
      </c>
      <c r="C234" s="112">
        <f>SUM(C235:C236)</f>
        <v>0</v>
      </c>
      <c r="D234" s="112">
        <f>SUM(D235:D236)</f>
        <v>0</v>
      </c>
      <c r="E234" s="102" t="e">
        <f t="shared" si="23"/>
        <v>#DIV/0!</v>
      </c>
      <c r="F234" s="78"/>
      <c r="G234" s="79" t="s">
        <v>229</v>
      </c>
    </row>
    <row r="235" spans="1:11" s="115" customFormat="1" hidden="1" x14ac:dyDescent="0.2">
      <c r="A235" s="94" t="s">
        <v>359</v>
      </c>
      <c r="B235" s="117">
        <v>0</v>
      </c>
      <c r="C235" s="117"/>
      <c r="D235" s="117"/>
      <c r="E235" s="90" t="e">
        <f t="shared" si="23"/>
        <v>#DIV/0!</v>
      </c>
      <c r="F235" s="173">
        <v>6322</v>
      </c>
      <c r="G235" s="91"/>
      <c r="H235" s="91"/>
    </row>
    <row r="236" spans="1:11" hidden="1" x14ac:dyDescent="0.2">
      <c r="A236" s="53"/>
      <c r="B236" s="116">
        <v>0</v>
      </c>
      <c r="C236" s="116"/>
      <c r="D236" s="116"/>
      <c r="E236" s="90" t="e">
        <f t="shared" si="23"/>
        <v>#DIV/0!</v>
      </c>
      <c r="F236" s="78" t="s">
        <v>217</v>
      </c>
    </row>
    <row r="237" spans="1:11" ht="15" x14ac:dyDescent="0.2">
      <c r="A237" s="87" t="s">
        <v>57</v>
      </c>
      <c r="B237" s="112">
        <f>SUM(B238:B238)</f>
        <v>0</v>
      </c>
      <c r="C237" s="112">
        <f>SUM(C238:C238)</f>
        <v>148972.78</v>
      </c>
      <c r="D237" s="112">
        <f>SUM(D238:D238)</f>
        <v>148972.78</v>
      </c>
      <c r="E237" s="102">
        <f t="shared" ref="E237:E247" si="24">D237/C237*100</f>
        <v>100</v>
      </c>
      <c r="F237" s="78"/>
      <c r="G237" s="79" t="s">
        <v>230</v>
      </c>
    </row>
    <row r="238" spans="1:11" x14ac:dyDescent="0.2">
      <c r="A238" s="53" t="s">
        <v>391</v>
      </c>
      <c r="B238" s="343">
        <v>0</v>
      </c>
      <c r="C238" s="343">
        <v>148972.78</v>
      </c>
      <c r="D238" s="343">
        <v>148972.78</v>
      </c>
      <c r="E238" s="90">
        <f t="shared" si="24"/>
        <v>100</v>
      </c>
      <c r="F238" s="78">
        <v>6121</v>
      </c>
      <c r="H238" s="317"/>
      <c r="I238" s="318"/>
      <c r="J238" s="318"/>
      <c r="K238" s="318"/>
    </row>
    <row r="239" spans="1:11" ht="15" x14ac:dyDescent="0.2">
      <c r="A239" s="87" t="s">
        <v>188</v>
      </c>
      <c r="B239" s="112">
        <f>SUM(B240:B240)</f>
        <v>0</v>
      </c>
      <c r="C239" s="112">
        <f>SUM(C240:C240)</f>
        <v>660.51</v>
      </c>
      <c r="D239" s="112">
        <f>SUM(D240:D240)</f>
        <v>0</v>
      </c>
      <c r="E239" s="102">
        <f>D239/C239*100</f>
        <v>0</v>
      </c>
      <c r="F239" s="78"/>
      <c r="H239" s="275" t="s">
        <v>71</v>
      </c>
      <c r="I239" s="308">
        <f>B240</f>
        <v>0</v>
      </c>
      <c r="J239" s="308">
        <f>C240</f>
        <v>660.51</v>
      </c>
      <c r="K239" s="308">
        <f>D240</f>
        <v>0</v>
      </c>
    </row>
    <row r="240" spans="1:11" x14ac:dyDescent="0.2">
      <c r="A240" s="53" t="s">
        <v>392</v>
      </c>
      <c r="B240" s="343">
        <v>0</v>
      </c>
      <c r="C240" s="343">
        <v>660.51</v>
      </c>
      <c r="D240" s="343">
        <v>0</v>
      </c>
      <c r="E240" s="90">
        <f t="shared" si="24"/>
        <v>0</v>
      </c>
      <c r="F240" s="78">
        <v>100835</v>
      </c>
      <c r="G240" s="502" t="s">
        <v>71</v>
      </c>
      <c r="H240" s="79" t="s">
        <v>213</v>
      </c>
      <c r="I240" s="29">
        <f>B232</f>
        <v>0</v>
      </c>
      <c r="J240" s="29">
        <f>C232</f>
        <v>40000</v>
      </c>
      <c r="K240" s="29">
        <f>D232</f>
        <v>38000</v>
      </c>
    </row>
    <row r="241" spans="1:11" ht="15" x14ac:dyDescent="0.2">
      <c r="A241" s="87" t="s">
        <v>58</v>
      </c>
      <c r="B241" s="112">
        <f>SUM(B242:B243)</f>
        <v>0</v>
      </c>
      <c r="C241" s="112">
        <f t="shared" ref="C241:D241" si="25">SUM(C242:C243)</f>
        <v>1799597</v>
      </c>
      <c r="D241" s="112">
        <f t="shared" si="25"/>
        <v>1719547</v>
      </c>
      <c r="E241" s="102">
        <f t="shared" si="24"/>
        <v>95.551781871163371</v>
      </c>
      <c r="F241" s="78"/>
      <c r="H241" s="79" t="s">
        <v>212</v>
      </c>
      <c r="I241" s="29">
        <f>B237</f>
        <v>0</v>
      </c>
      <c r="J241" s="29">
        <f>C237</f>
        <v>148972.78</v>
      </c>
      <c r="K241" s="29">
        <f>D237</f>
        <v>148972.78</v>
      </c>
    </row>
    <row r="242" spans="1:11" x14ac:dyDescent="0.2">
      <c r="A242" s="53" t="s">
        <v>393</v>
      </c>
      <c r="B242" s="343">
        <v>0</v>
      </c>
      <c r="C242" s="343">
        <v>266250</v>
      </c>
      <c r="D242" s="343">
        <v>266200</v>
      </c>
      <c r="E242" s="90">
        <f t="shared" si="24"/>
        <v>99.981220657276992</v>
      </c>
      <c r="F242" s="78"/>
      <c r="G242" s="79" t="s">
        <v>231</v>
      </c>
      <c r="H242" s="79" t="s">
        <v>214</v>
      </c>
      <c r="I242" s="29">
        <f>B241</f>
        <v>0</v>
      </c>
      <c r="J242" s="29">
        <f>C241</f>
        <v>1799597</v>
      </c>
      <c r="K242" s="29">
        <f>D241</f>
        <v>1719547</v>
      </c>
    </row>
    <row r="243" spans="1:11" ht="25.5" x14ac:dyDescent="0.2">
      <c r="A243" s="356" t="s">
        <v>394</v>
      </c>
      <c r="B243" s="341">
        <v>0</v>
      </c>
      <c r="C243" s="341">
        <v>1533347</v>
      </c>
      <c r="D243" s="341">
        <v>1453347</v>
      </c>
      <c r="E243" s="90">
        <f t="shared" si="24"/>
        <v>94.782655198073229</v>
      </c>
      <c r="F243" s="78"/>
      <c r="H243" s="91" t="s">
        <v>215</v>
      </c>
      <c r="I243" s="501">
        <f>B244</f>
        <v>1627000</v>
      </c>
      <c r="J243" s="501">
        <f>C244</f>
        <v>1627000</v>
      </c>
      <c r="K243" s="501">
        <f>D244</f>
        <v>1624572</v>
      </c>
    </row>
    <row r="244" spans="1:11" ht="15" x14ac:dyDescent="0.25">
      <c r="A244" s="87" t="s">
        <v>59</v>
      </c>
      <c r="B244" s="112">
        <f>SUM(B245)</f>
        <v>1627000</v>
      </c>
      <c r="C244" s="112">
        <f t="shared" ref="C244:D244" si="26">SUM(C245)</f>
        <v>1627000</v>
      </c>
      <c r="D244" s="112">
        <f t="shared" si="26"/>
        <v>1624572</v>
      </c>
      <c r="E244" s="102">
        <f>D244/C244*100</f>
        <v>99.850768285187456</v>
      </c>
      <c r="F244" s="78"/>
      <c r="G244" s="79" t="s">
        <v>227</v>
      </c>
      <c r="I244" s="495">
        <f>SUM(I239:I243)</f>
        <v>1627000</v>
      </c>
      <c r="J244" s="495">
        <f t="shared" ref="J244:K244" si="27">SUM(J239:J243)</f>
        <v>3616230.29</v>
      </c>
      <c r="K244" s="495">
        <f t="shared" si="27"/>
        <v>3531091.7800000003</v>
      </c>
    </row>
    <row r="245" spans="1:11" ht="13.5" thickBot="1" x14ac:dyDescent="0.25">
      <c r="A245" s="345" t="s">
        <v>376</v>
      </c>
      <c r="B245" s="346">
        <v>1627000</v>
      </c>
      <c r="C245" s="346">
        <v>1627000</v>
      </c>
      <c r="D245" s="346">
        <v>1624572</v>
      </c>
      <c r="E245" s="340">
        <f t="shared" si="24"/>
        <v>99.850768285187456</v>
      </c>
      <c r="F245" s="78"/>
    </row>
    <row r="246" spans="1:11" ht="15.75" hidden="1" thickTop="1" x14ac:dyDescent="0.2">
      <c r="A246" s="87" t="s">
        <v>62</v>
      </c>
      <c r="B246" s="112">
        <f>SUM(B247)</f>
        <v>0</v>
      </c>
      <c r="C246" s="112">
        <f>SUM(C247)</f>
        <v>0</v>
      </c>
      <c r="D246" s="112">
        <f>SUM(D247)</f>
        <v>0</v>
      </c>
      <c r="E246" s="102" t="e">
        <f>D246/C246*100</f>
        <v>#DIV/0!</v>
      </c>
      <c r="F246" s="78"/>
      <c r="H246" s="79" t="s">
        <v>216</v>
      </c>
      <c r="I246" s="29">
        <f>B246</f>
        <v>0</v>
      </c>
      <c r="J246" s="29">
        <f>C246</f>
        <v>0</v>
      </c>
      <c r="K246" s="29">
        <f>D246</f>
        <v>0</v>
      </c>
    </row>
    <row r="247" spans="1:11" ht="15.75" hidden="1" thickBot="1" x14ac:dyDescent="0.3">
      <c r="A247" s="345" t="s">
        <v>359</v>
      </c>
      <c r="B247" s="346"/>
      <c r="C247" s="346"/>
      <c r="D247" s="346"/>
      <c r="E247" s="340" t="e">
        <f t="shared" si="24"/>
        <v>#DIV/0!</v>
      </c>
      <c r="F247" s="174"/>
      <c r="G247" s="79" t="s">
        <v>232</v>
      </c>
      <c r="I247" s="307">
        <f>SUM(I238:I246)</f>
        <v>3254000</v>
      </c>
      <c r="J247" s="307">
        <f>SUM(J238:J246)</f>
        <v>7232460.5800000001</v>
      </c>
      <c r="K247" s="307">
        <f>SUM(K238:K246)</f>
        <v>7062183.5600000005</v>
      </c>
    </row>
    <row r="248" spans="1:11" ht="13.5" thickTop="1" x14ac:dyDescent="0.2">
      <c r="A248" s="110"/>
      <c r="B248" s="111"/>
      <c r="C248" s="111"/>
      <c r="D248" s="111"/>
      <c r="E248" s="96"/>
      <c r="F248" s="78"/>
    </row>
    <row r="249" spans="1:11" s="37" customFormat="1" ht="18.75" thickBot="1" x14ac:dyDescent="0.3">
      <c r="A249" s="106" t="s">
        <v>60</v>
      </c>
      <c r="B249" s="107">
        <f>SUM(B232,B234,B237,B241,B244,B246,B239)</f>
        <v>1627000</v>
      </c>
      <c r="C249" s="107">
        <f>SUM(C232,C234,C237,C241,C244,C246,C239)</f>
        <v>3616230.29</v>
      </c>
      <c r="D249" s="107">
        <f>SUM(D232,D234,D237,D241,D244,D246,D239)</f>
        <v>3531091.7800000003</v>
      </c>
      <c r="E249" s="108">
        <f>D249/C249*100</f>
        <v>97.645655747217361</v>
      </c>
      <c r="F249" s="70"/>
      <c r="G249" s="109"/>
    </row>
    <row r="250" spans="1:11" ht="13.5" thickTop="1" x14ac:dyDescent="0.2"/>
    <row r="251" spans="1:11" x14ac:dyDescent="0.2">
      <c r="B251" s="29"/>
    </row>
    <row r="252" spans="1:11" ht="14.25" x14ac:dyDescent="0.2">
      <c r="A252" s="120" t="s">
        <v>12</v>
      </c>
      <c r="B252" s="120"/>
      <c r="C252" s="120"/>
      <c r="D252" s="120"/>
      <c r="E252" s="121"/>
    </row>
    <row r="253" spans="1:11" ht="14.25" x14ac:dyDescent="0.2">
      <c r="A253" s="122" t="s">
        <v>16</v>
      </c>
      <c r="B253" s="123">
        <f>SUM(B79)</f>
        <v>19775000</v>
      </c>
      <c r="C253" s="123">
        <f>SUM(C79)</f>
        <v>30840887.48</v>
      </c>
      <c r="D253" s="123">
        <f>SUM(D79)</f>
        <v>29440011.32</v>
      </c>
      <c r="E253" s="124">
        <f t="shared" ref="E253:E259" si="28">D253/C253*100</f>
        <v>95.457730712488569</v>
      </c>
      <c r="F253" s="152"/>
    </row>
    <row r="254" spans="1:11" ht="14.25" x14ac:dyDescent="0.2">
      <c r="A254" s="122" t="s">
        <v>15</v>
      </c>
      <c r="B254" s="123">
        <f>SUM(B113)</f>
        <v>26753000</v>
      </c>
      <c r="C254" s="123">
        <f>SUM(C113)</f>
        <v>31254841.859999999</v>
      </c>
      <c r="D254" s="123">
        <f>SUM(D113)</f>
        <v>30046679.82</v>
      </c>
      <c r="E254" s="124">
        <f t="shared" si="28"/>
        <v>96.134480393752341</v>
      </c>
      <c r="F254" s="168"/>
    </row>
    <row r="255" spans="1:11" ht="14.25" x14ac:dyDescent="0.2">
      <c r="A255" s="122" t="s">
        <v>13</v>
      </c>
      <c r="B255" s="123">
        <f>SUM(B163)</f>
        <v>59426000</v>
      </c>
      <c r="C255" s="123">
        <f>SUM(C163)</f>
        <v>41389829.710000008</v>
      </c>
      <c r="D255" s="123">
        <f>SUM(D163)</f>
        <v>38046475.480000012</v>
      </c>
      <c r="E255" s="124">
        <f t="shared" si="28"/>
        <v>91.922280779057601</v>
      </c>
      <c r="F255" s="169"/>
    </row>
    <row r="256" spans="1:11" ht="14.25" x14ac:dyDescent="0.2">
      <c r="A256" s="122" t="s">
        <v>17</v>
      </c>
      <c r="B256" s="123">
        <f>SUM(B194)</f>
        <v>9320000</v>
      </c>
      <c r="C256" s="123">
        <f>SUM(C194)</f>
        <v>8978890.7699999996</v>
      </c>
      <c r="D256" s="123">
        <f>SUM(D194)</f>
        <v>8140646.4900000002</v>
      </c>
      <c r="E256" s="124">
        <f t="shared" si="28"/>
        <v>90.664278010812694</v>
      </c>
      <c r="F256" s="170"/>
    </row>
    <row r="257" spans="1:11" ht="14.25" x14ac:dyDescent="0.2">
      <c r="A257" s="122" t="s">
        <v>14</v>
      </c>
      <c r="B257" s="123">
        <f>SUM(B224)</f>
        <v>28279000</v>
      </c>
      <c r="C257" s="123">
        <f>SUM(C224)</f>
        <v>46887112</v>
      </c>
      <c r="D257" s="123">
        <f>SUM(D224)</f>
        <v>14970378.800000001</v>
      </c>
      <c r="E257" s="124">
        <f t="shared" si="28"/>
        <v>31.928558107822891</v>
      </c>
      <c r="F257" s="171"/>
    </row>
    <row r="258" spans="1:11" ht="14.25" x14ac:dyDescent="0.2">
      <c r="A258" s="122" t="s">
        <v>61</v>
      </c>
      <c r="B258" s="123">
        <f>SUM(B249)</f>
        <v>1627000</v>
      </c>
      <c r="C258" s="123">
        <f>SUM(C249)</f>
        <v>3616230.29</v>
      </c>
      <c r="D258" s="123">
        <f>SUM(D249)</f>
        <v>3531091.7800000003</v>
      </c>
      <c r="E258" s="124">
        <f t="shared" si="28"/>
        <v>97.645655747217361</v>
      </c>
    </row>
    <row r="259" spans="1:11" ht="15.75" thickBot="1" x14ac:dyDescent="0.25">
      <c r="A259" s="125" t="s">
        <v>3</v>
      </c>
      <c r="B259" s="126">
        <f>SUM(B253:B258)</f>
        <v>145180000</v>
      </c>
      <c r="C259" s="126">
        <f>SUM(C253:C258)</f>
        <v>162967792.10999998</v>
      </c>
      <c r="D259" s="126">
        <f>SUM(D253:D258)</f>
        <v>124175283.69</v>
      </c>
      <c r="E259" s="127">
        <f t="shared" si="28"/>
        <v>76.196211584055931</v>
      </c>
    </row>
    <row r="260" spans="1:11" ht="14.25" thickTop="1" thickBot="1" x14ac:dyDescent="0.25">
      <c r="G260" s="330"/>
      <c r="H260" s="330"/>
      <c r="I260" s="40"/>
      <c r="J260" s="40"/>
      <c r="K260" s="40"/>
    </row>
    <row r="261" spans="1:11" ht="13.5" thickTop="1" x14ac:dyDescent="0.2"/>
    <row r="263" spans="1:11" ht="13.5" thickBot="1" x14ac:dyDescent="0.25">
      <c r="A263" s="305"/>
      <c r="B263" s="306">
        <f>SUM(B264:B273)</f>
        <v>29685000</v>
      </c>
      <c r="C263" s="306">
        <f>SUM(C264:C273)</f>
        <v>19731583</v>
      </c>
      <c r="D263" s="306">
        <f t="shared" ref="D263" si="29">SUM(D264:D273)</f>
        <v>12632309</v>
      </c>
      <c r="E263" s="21"/>
      <c r="F263" s="18"/>
      <c r="G263" s="18"/>
      <c r="H263" s="317"/>
      <c r="I263" s="318"/>
      <c r="J263" s="318"/>
      <c r="K263" s="318"/>
    </row>
    <row r="264" spans="1:11" ht="13.5" thickTop="1" x14ac:dyDescent="0.2">
      <c r="A264" s="302" t="s">
        <v>66</v>
      </c>
      <c r="B264" s="177">
        <v>29685000</v>
      </c>
      <c r="C264" s="177">
        <f>4021900+7467646+1642502+1040111+2836742+100000+432000+2076682+114000</f>
        <v>19731583</v>
      </c>
      <c r="D264" s="177">
        <v>12632309</v>
      </c>
      <c r="E264" s="21"/>
      <c r="F264" s="18"/>
      <c r="G264" s="18"/>
      <c r="H264" s="317" t="s">
        <v>158</v>
      </c>
      <c r="I264" s="318">
        <f>I99+I206+I193+I143</f>
        <v>10579000</v>
      </c>
      <c r="J264" s="318">
        <f t="shared" ref="J264:K264" si="30">J99+J206+J193+J143</f>
        <v>14347542</v>
      </c>
      <c r="K264" s="318">
        <f t="shared" si="30"/>
        <v>11652119.550000001</v>
      </c>
    </row>
    <row r="265" spans="1:11" x14ac:dyDescent="0.2">
      <c r="A265" s="302" t="s">
        <v>71</v>
      </c>
      <c r="B265" s="177"/>
      <c r="C265" s="177"/>
      <c r="D265" s="177"/>
      <c r="E265" s="21"/>
      <c r="F265" s="18"/>
      <c r="G265" s="18"/>
      <c r="H265" s="315" t="s">
        <v>157</v>
      </c>
      <c r="I265" s="316">
        <f>I72+I140</f>
        <v>0</v>
      </c>
      <c r="J265" s="316">
        <f>J72+J140</f>
        <v>463431</v>
      </c>
      <c r="K265" s="316">
        <f>K72+K140</f>
        <v>439109.52</v>
      </c>
    </row>
    <row r="266" spans="1:11" x14ac:dyDescent="0.2">
      <c r="A266" s="302" t="s">
        <v>126</v>
      </c>
      <c r="B266" s="177"/>
      <c r="C266" s="177"/>
      <c r="D266" s="177"/>
      <c r="E266" s="21"/>
      <c r="F266" s="18"/>
      <c r="G266" s="18"/>
      <c r="H266" s="275" t="s">
        <v>71</v>
      </c>
      <c r="I266" s="308">
        <f>I73+I100+I141+I191+I204+I239</f>
        <v>128874000</v>
      </c>
      <c r="J266" s="308">
        <f>J73+J100+J141+J191+J204+J239</f>
        <v>124516531.61000001</v>
      </c>
      <c r="K266" s="308">
        <f>K73+K100+K141+K191+K204+K239</f>
        <v>89874605.900000006</v>
      </c>
    </row>
    <row r="267" spans="1:11" x14ac:dyDescent="0.2">
      <c r="A267" s="302"/>
      <c r="B267" s="177"/>
      <c r="C267" s="177"/>
      <c r="D267" s="177"/>
      <c r="E267" s="21"/>
      <c r="F267" s="18"/>
      <c r="G267" s="18"/>
      <c r="H267" s="274" t="s">
        <v>66</v>
      </c>
      <c r="I267" s="309">
        <f>I74+I101+I142+I205</f>
        <v>0</v>
      </c>
      <c r="J267" s="309">
        <f>J74+J101+J142+J205</f>
        <v>9923708.1600000001</v>
      </c>
      <c r="K267" s="309">
        <f>K74+K101+K142+K205</f>
        <v>8877347.3800000008</v>
      </c>
    </row>
    <row r="268" spans="1:11" x14ac:dyDescent="0.2">
      <c r="A268" s="302"/>
      <c r="B268" s="177"/>
      <c r="C268" s="177"/>
      <c r="D268" s="177"/>
      <c r="E268" s="21"/>
      <c r="F268" s="18"/>
      <c r="G268" s="18"/>
      <c r="H268" s="282" t="s">
        <v>126</v>
      </c>
      <c r="I268" s="310">
        <f>I75+I192</f>
        <v>3800000</v>
      </c>
      <c r="J268" s="310">
        <f>J75+J192</f>
        <v>9801009.5600000005</v>
      </c>
      <c r="K268" s="310">
        <f>K75+K192</f>
        <v>9801009.5600000005</v>
      </c>
    </row>
    <row r="269" spans="1:11" x14ac:dyDescent="0.2">
      <c r="E269" s="30"/>
      <c r="F269" s="30"/>
      <c r="G269" s="30"/>
      <c r="H269" s="79" t="s">
        <v>213</v>
      </c>
      <c r="I269" s="29">
        <f t="shared" ref="I269:K272" si="31">I240</f>
        <v>0</v>
      </c>
      <c r="J269" s="29">
        <f t="shared" si="31"/>
        <v>40000</v>
      </c>
      <c r="K269" s="29">
        <f t="shared" si="31"/>
        <v>38000</v>
      </c>
    </row>
    <row r="270" spans="1:11" x14ac:dyDescent="0.2">
      <c r="E270" s="30"/>
      <c r="F270" s="30"/>
      <c r="G270" s="30"/>
      <c r="H270" s="79" t="s">
        <v>212</v>
      </c>
      <c r="I270" s="29">
        <f t="shared" si="31"/>
        <v>0</v>
      </c>
      <c r="J270" s="29">
        <f t="shared" si="31"/>
        <v>148972.78</v>
      </c>
      <c r="K270" s="29">
        <f t="shared" si="31"/>
        <v>148972.78</v>
      </c>
    </row>
    <row r="271" spans="1:11" x14ac:dyDescent="0.2">
      <c r="E271" s="30"/>
      <c r="F271" s="30"/>
      <c r="G271" s="30"/>
      <c r="H271" s="79" t="s">
        <v>214</v>
      </c>
      <c r="I271" s="29">
        <f t="shared" si="31"/>
        <v>0</v>
      </c>
      <c r="J271" s="29">
        <f t="shared" si="31"/>
        <v>1799597</v>
      </c>
      <c r="K271" s="29">
        <f t="shared" si="31"/>
        <v>1719547</v>
      </c>
    </row>
    <row r="272" spans="1:11" x14ac:dyDescent="0.2">
      <c r="E272" s="30"/>
      <c r="F272" s="30"/>
      <c r="G272" s="30"/>
      <c r="H272" s="79" t="s">
        <v>215</v>
      </c>
      <c r="I272" s="29">
        <f t="shared" si="31"/>
        <v>1627000</v>
      </c>
      <c r="J272" s="29">
        <f t="shared" si="31"/>
        <v>1627000</v>
      </c>
      <c r="K272" s="29">
        <f t="shared" si="31"/>
        <v>1624572</v>
      </c>
    </row>
    <row r="273" spans="5:11" x14ac:dyDescent="0.2">
      <c r="E273" s="30"/>
      <c r="F273" s="30"/>
      <c r="G273" s="30"/>
      <c r="I273" s="29"/>
      <c r="J273" s="29"/>
      <c r="K273" s="29"/>
    </row>
    <row r="274" spans="5:11" ht="15" x14ac:dyDescent="0.25">
      <c r="E274" s="30"/>
      <c r="F274" s="30"/>
      <c r="G274" s="30"/>
      <c r="I274" s="307">
        <f>SUM(I264:I273)</f>
        <v>144880000</v>
      </c>
      <c r="J274" s="307">
        <f>SUM(J264:J273)</f>
        <v>162667792.11000001</v>
      </c>
      <c r="K274" s="307">
        <f>SUM(K264:K273)</f>
        <v>124175283.69</v>
      </c>
    </row>
    <row r="275" spans="5:11" x14ac:dyDescent="0.2">
      <c r="E275" s="30"/>
      <c r="F275" s="30"/>
      <c r="G275" s="30"/>
    </row>
  </sheetData>
  <pageMargins left="0.78740157480314965" right="0.78740157480314965" top="0.98425196850393704" bottom="0.98425196850393704" header="0.51181102362204722" footer="0.51181102362204722"/>
  <pageSetup paperSize="9" scale="63" firstPageNumber="192" fitToHeight="5" orientation="portrait" useFirstPageNumber="1" r:id="rId1"/>
  <headerFooter alignWithMargins="0">
    <oddFooter>&amp;L&amp;"Arial,Kurzíva"Zastupitelstvo Olomouckého kraje 20.6.2014
5.2. - Závěrečný účet Olomouckého kraje za rok 2013 
Příloha č. 8: Přehled financování investičních akcí v roce 2013&amp;R&amp;"Arial,Kurzíva"Strana &amp;P (celkem 480)</oddFooter>
  </headerFooter>
  <rowBreaks count="3" manualBreakCount="3">
    <brk id="70" max="4" man="1"/>
    <brk id="115" max="4" man="1"/>
    <brk id="195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2"/>
  <sheetViews>
    <sheetView showGridLines="0" view="pageBreakPreview" zoomScaleNormal="100" zoomScaleSheetLayoutView="100" workbookViewId="0">
      <selection activeCell="A25" sqref="A25"/>
    </sheetView>
  </sheetViews>
  <sheetFormatPr defaultRowHeight="12.75" x14ac:dyDescent="0.2"/>
  <cols>
    <col min="1" max="1" width="76.28515625" style="139" customWidth="1"/>
    <col min="2" max="2" width="16" style="140" customWidth="1"/>
    <col min="3" max="3" width="16" style="141" customWidth="1"/>
    <col min="4" max="4" width="16.140625" style="139" customWidth="1"/>
    <col min="5" max="5" width="7.42578125" style="139" customWidth="1"/>
    <col min="6" max="6" width="12.5703125" style="142" customWidth="1"/>
    <col min="7" max="7" width="10.140625" style="162" bestFit="1" customWidth="1"/>
    <col min="8" max="8" width="16.140625" style="139" bestFit="1" customWidth="1"/>
    <col min="9" max="9" width="11.7109375" style="139" bestFit="1" customWidth="1"/>
    <col min="10" max="16384" width="9.140625" style="139"/>
  </cols>
  <sheetData>
    <row r="1" spans="1:8" s="73" customFormat="1" ht="18" x14ac:dyDescent="0.25">
      <c r="A1" s="70" t="s">
        <v>234</v>
      </c>
      <c r="B1" s="70"/>
      <c r="C1" s="70"/>
      <c r="D1" s="70"/>
      <c r="E1" s="70"/>
      <c r="F1" s="128"/>
      <c r="G1" s="162"/>
      <c r="H1" s="129"/>
    </row>
    <row r="2" spans="1:8" s="76" customFormat="1" ht="15.75" x14ac:dyDescent="0.25">
      <c r="A2" s="74" t="s">
        <v>421</v>
      </c>
      <c r="B2" s="75"/>
      <c r="C2" s="75"/>
      <c r="D2" s="75"/>
      <c r="E2" s="75"/>
      <c r="F2" s="131"/>
      <c r="G2" s="162"/>
      <c r="H2" s="132"/>
    </row>
    <row r="3" spans="1:8" s="135" customFormat="1" ht="15.75" x14ac:dyDescent="0.25">
      <c r="A3" s="133"/>
      <c r="B3" s="133"/>
      <c r="C3" s="133"/>
      <c r="D3" s="133"/>
      <c r="E3" s="130"/>
      <c r="F3" s="134"/>
      <c r="G3" s="163"/>
    </row>
    <row r="4" spans="1:8" s="30" customFormat="1" ht="18" x14ac:dyDescent="0.25">
      <c r="A4" s="77" t="s">
        <v>24</v>
      </c>
      <c r="E4" s="78"/>
      <c r="G4" s="162"/>
    </row>
    <row r="5" spans="1:8" s="30" customFormat="1" ht="15" customHeight="1" thickBot="1" x14ac:dyDescent="0.3">
      <c r="A5" s="80" t="s">
        <v>426</v>
      </c>
      <c r="E5" s="81" t="s">
        <v>18</v>
      </c>
      <c r="G5" s="162"/>
    </row>
    <row r="6" spans="1:8" s="30" customFormat="1" ht="27" customHeight="1" thickTop="1" thickBot="1" x14ac:dyDescent="0.25">
      <c r="A6" s="82" t="s">
        <v>5</v>
      </c>
      <c r="B6" s="83" t="s">
        <v>0</v>
      </c>
      <c r="C6" s="84" t="s">
        <v>1</v>
      </c>
      <c r="D6" s="85" t="s">
        <v>4</v>
      </c>
      <c r="E6" s="86" t="s">
        <v>6</v>
      </c>
      <c r="G6" s="162"/>
    </row>
    <row r="7" spans="1:8" ht="15.75" thickTop="1" x14ac:dyDescent="0.2">
      <c r="A7" s="87" t="s">
        <v>7</v>
      </c>
      <c r="B7" s="88">
        <f>SUM(B8:B10)</f>
        <v>0</v>
      </c>
      <c r="C7" s="88">
        <f>SUM(C8:C10)</f>
        <v>7271470.79</v>
      </c>
      <c r="D7" s="88">
        <f>SUM(D8:D10)</f>
        <v>2391718.88</v>
      </c>
      <c r="E7" s="137">
        <f>D7/C7*100</f>
        <v>32.891817200024811</v>
      </c>
      <c r="F7" s="138" t="s">
        <v>2</v>
      </c>
      <c r="G7" s="163" t="s">
        <v>64</v>
      </c>
    </row>
    <row r="8" spans="1:8" x14ac:dyDescent="0.2">
      <c r="A8" s="336" t="s">
        <v>148</v>
      </c>
      <c r="B8" s="337">
        <v>0</v>
      </c>
      <c r="C8" s="337">
        <f>28595.24+486119.17</f>
        <v>514714.41</v>
      </c>
      <c r="D8" s="337">
        <f>28595.24+486119.17</f>
        <v>514714.41</v>
      </c>
      <c r="E8" s="90">
        <f t="shared" ref="E8:E10" si="0">D8/C8*100</f>
        <v>100</v>
      </c>
      <c r="F8" s="264">
        <v>60001100559</v>
      </c>
      <c r="G8" s="165" t="s">
        <v>339</v>
      </c>
    </row>
    <row r="9" spans="1:8" x14ac:dyDescent="0.2">
      <c r="A9" s="336" t="s">
        <v>298</v>
      </c>
      <c r="B9" s="337">
        <v>0</v>
      </c>
      <c r="C9" s="337">
        <f>104278.03+1772726.44</f>
        <v>1877004.47</v>
      </c>
      <c r="D9" s="337">
        <f>104278.03+1772726.44</f>
        <v>1877004.47</v>
      </c>
      <c r="E9" s="90">
        <f t="shared" si="0"/>
        <v>100</v>
      </c>
      <c r="F9" s="264">
        <v>60001100821</v>
      </c>
      <c r="G9" s="165" t="s">
        <v>339</v>
      </c>
    </row>
    <row r="10" spans="1:8" ht="13.5" thickBot="1" x14ac:dyDescent="0.25">
      <c r="A10" s="348" t="s">
        <v>300</v>
      </c>
      <c r="B10" s="446">
        <v>0</v>
      </c>
      <c r="C10" s="446">
        <v>4879751.91</v>
      </c>
      <c r="D10" s="446">
        <v>0</v>
      </c>
      <c r="E10" s="340">
        <f t="shared" si="0"/>
        <v>0</v>
      </c>
      <c r="F10" s="264">
        <v>60001100575</v>
      </c>
      <c r="G10" s="165" t="s">
        <v>420</v>
      </c>
    </row>
    <row r="11" spans="1:8" s="135" customFormat="1" ht="16.5" thickTop="1" x14ac:dyDescent="0.25">
      <c r="A11" s="133"/>
      <c r="B11" s="133"/>
      <c r="C11" s="133"/>
      <c r="D11" s="133"/>
      <c r="E11" s="130"/>
      <c r="F11" s="134"/>
      <c r="G11" s="163"/>
    </row>
    <row r="12" spans="1:8" s="37" customFormat="1" ht="18.75" thickBot="1" x14ac:dyDescent="0.3">
      <c r="A12" s="106" t="s">
        <v>27</v>
      </c>
      <c r="B12" s="107">
        <f>SUM(B7)</f>
        <v>0</v>
      </c>
      <c r="C12" s="107">
        <f>SUM(C7)</f>
        <v>7271470.79</v>
      </c>
      <c r="D12" s="107">
        <f>SUM(D7)</f>
        <v>2391718.88</v>
      </c>
      <c r="E12" s="108">
        <f>D12/C12*100</f>
        <v>32.891817200024811</v>
      </c>
      <c r="F12" s="70"/>
      <c r="G12" s="164"/>
    </row>
    <row r="13" spans="1:8" ht="13.5" thickTop="1" x14ac:dyDescent="0.2"/>
    <row r="16" spans="1:8" s="30" customFormat="1" ht="18" x14ac:dyDescent="0.25">
      <c r="A16" s="77" t="s">
        <v>29</v>
      </c>
      <c r="E16" s="78"/>
      <c r="G16" s="162"/>
    </row>
    <row r="17" spans="1:7" s="30" customFormat="1" ht="15" customHeight="1" thickBot="1" x14ac:dyDescent="0.3">
      <c r="A17" s="80" t="s">
        <v>426</v>
      </c>
      <c r="E17" s="81" t="s">
        <v>18</v>
      </c>
      <c r="G17" s="162"/>
    </row>
    <row r="18" spans="1:7" s="30" customFormat="1" ht="27" customHeight="1" thickTop="1" thickBot="1" x14ac:dyDescent="0.25">
      <c r="A18" s="82" t="s">
        <v>5</v>
      </c>
      <c r="B18" s="83" t="s">
        <v>0</v>
      </c>
      <c r="C18" s="84" t="s">
        <v>1</v>
      </c>
      <c r="D18" s="85" t="s">
        <v>4</v>
      </c>
      <c r="E18" s="86" t="s">
        <v>6</v>
      </c>
      <c r="G18" s="162"/>
    </row>
    <row r="19" spans="1:7" ht="15.75" thickTop="1" x14ac:dyDescent="0.2">
      <c r="A19" s="87" t="s">
        <v>9</v>
      </c>
      <c r="B19" s="88">
        <f>SUM(B20:B23)</f>
        <v>0</v>
      </c>
      <c r="C19" s="88">
        <f>SUM(C20:C23)</f>
        <v>7836080.9900000002</v>
      </c>
      <c r="D19" s="88">
        <f>SUM(D20:D23)</f>
        <v>7836080.9900000002</v>
      </c>
      <c r="E19" s="137">
        <f>D19/C19*100</f>
        <v>100</v>
      </c>
      <c r="F19" s="138" t="s">
        <v>2</v>
      </c>
      <c r="G19" s="163" t="s">
        <v>63</v>
      </c>
    </row>
    <row r="20" spans="1:7" ht="14.25" x14ac:dyDescent="0.2">
      <c r="A20" s="350" t="s">
        <v>171</v>
      </c>
      <c r="B20" s="337">
        <v>0</v>
      </c>
      <c r="C20" s="337">
        <f>24646.25+418986.25</f>
        <v>443632.5</v>
      </c>
      <c r="D20" s="525">
        <f>24646.25+418986.25</f>
        <v>443632.5</v>
      </c>
      <c r="E20" s="474">
        <f t="shared" ref="E20:E23" si="1">D20/C20*100</f>
        <v>100</v>
      </c>
      <c r="F20" s="281">
        <v>60002100496</v>
      </c>
      <c r="G20" s="283" t="s">
        <v>339</v>
      </c>
    </row>
    <row r="21" spans="1:7" ht="14.25" x14ac:dyDescent="0.2">
      <c r="A21" s="336" t="s">
        <v>226</v>
      </c>
      <c r="B21" s="337">
        <v>0</v>
      </c>
      <c r="C21" s="337">
        <f>103334+325682+585557+1845643</f>
        <v>2860216</v>
      </c>
      <c r="D21" s="525">
        <f>103334+325682+585557+1845643</f>
        <v>2860216</v>
      </c>
      <c r="E21" s="474">
        <f t="shared" si="1"/>
        <v>100</v>
      </c>
      <c r="F21" s="281">
        <v>60002100441</v>
      </c>
      <c r="G21" s="165" t="s">
        <v>186</v>
      </c>
    </row>
    <row r="22" spans="1:7" ht="14.25" x14ac:dyDescent="0.2">
      <c r="A22" s="526" t="s">
        <v>161</v>
      </c>
      <c r="B22" s="341">
        <v>0</v>
      </c>
      <c r="C22" s="341">
        <f>349219+1978906</f>
        <v>2328125</v>
      </c>
      <c r="D22" s="262">
        <f>349219+1978906</f>
        <v>2328125</v>
      </c>
      <c r="E22" s="474">
        <f t="shared" si="1"/>
        <v>100</v>
      </c>
      <c r="F22" s="265">
        <v>60002100814</v>
      </c>
      <c r="G22" s="165" t="s">
        <v>186</v>
      </c>
    </row>
    <row r="23" spans="1:7" ht="15" thickBot="1" x14ac:dyDescent="0.25">
      <c r="A23" s="338" t="s">
        <v>172</v>
      </c>
      <c r="B23" s="339">
        <v>0</v>
      </c>
      <c r="C23" s="339">
        <v>2204107.4900000002</v>
      </c>
      <c r="D23" s="339">
        <v>2204107.4900000002</v>
      </c>
      <c r="E23" s="475">
        <f t="shared" si="1"/>
        <v>100</v>
      </c>
      <c r="F23" s="265">
        <v>60002100518</v>
      </c>
      <c r="G23" s="165" t="s">
        <v>420</v>
      </c>
    </row>
    <row r="24" spans="1:7" s="73" customFormat="1" ht="13.5" thickTop="1" x14ac:dyDescent="0.2">
      <c r="A24" s="261"/>
      <c r="B24" s="262"/>
      <c r="C24" s="262"/>
      <c r="D24" s="262"/>
      <c r="E24" s="96"/>
      <c r="F24" s="263"/>
      <c r="G24" s="163"/>
    </row>
    <row r="25" spans="1:7" s="37" customFormat="1" ht="18.75" thickBot="1" x14ac:dyDescent="0.3">
      <c r="A25" s="106" t="s">
        <v>28</v>
      </c>
      <c r="B25" s="107">
        <f>B19</f>
        <v>0</v>
      </c>
      <c r="C25" s="107">
        <f>C19</f>
        <v>7836080.9900000002</v>
      </c>
      <c r="D25" s="107">
        <f>D19</f>
        <v>7836080.9900000002</v>
      </c>
      <c r="E25" s="108">
        <f>D25/C25*100</f>
        <v>100</v>
      </c>
      <c r="F25" s="70"/>
      <c r="G25" s="164"/>
    </row>
    <row r="26" spans="1:7" s="73" customFormat="1" ht="13.5" thickTop="1" x14ac:dyDescent="0.2">
      <c r="A26" s="261"/>
      <c r="B26" s="262"/>
      <c r="C26" s="262"/>
      <c r="D26" s="262"/>
      <c r="E26" s="96"/>
      <c r="F26" s="263"/>
      <c r="G26" s="163"/>
    </row>
    <row r="27" spans="1:7" s="73" customFormat="1" x14ac:dyDescent="0.2">
      <c r="A27" s="261"/>
      <c r="B27" s="262"/>
      <c r="C27" s="262"/>
      <c r="D27" s="262"/>
      <c r="E27" s="96"/>
      <c r="F27" s="263"/>
      <c r="G27" s="163"/>
    </row>
    <row r="28" spans="1:7" ht="14.25" x14ac:dyDescent="0.2">
      <c r="A28" s="120" t="s">
        <v>12</v>
      </c>
      <c r="B28" s="120"/>
      <c r="C28" s="120"/>
      <c r="D28" s="120"/>
      <c r="E28" s="121"/>
    </row>
    <row r="29" spans="1:7" ht="14.25" x14ac:dyDescent="0.2">
      <c r="A29" s="122" t="s">
        <v>16</v>
      </c>
      <c r="B29" s="123">
        <f>B12</f>
        <v>0</v>
      </c>
      <c r="C29" s="123">
        <f>C12</f>
        <v>7271470.79</v>
      </c>
      <c r="D29" s="123">
        <f>D12</f>
        <v>2391718.88</v>
      </c>
      <c r="E29" s="124">
        <f>D29/C29*100</f>
        <v>32.891817200024811</v>
      </c>
    </row>
    <row r="30" spans="1:7" ht="14.25" x14ac:dyDescent="0.2">
      <c r="A30" s="122" t="s">
        <v>15</v>
      </c>
      <c r="B30" s="123">
        <f>B25</f>
        <v>0</v>
      </c>
      <c r="C30" s="123">
        <f>C25</f>
        <v>7836080.9900000002</v>
      </c>
      <c r="D30" s="123">
        <f>D25</f>
        <v>7836080.9900000002</v>
      </c>
      <c r="E30" s="124">
        <f>D30/C30*100</f>
        <v>100</v>
      </c>
    </row>
    <row r="31" spans="1:7" ht="15.75" thickBot="1" x14ac:dyDescent="0.25">
      <c r="A31" s="125" t="s">
        <v>3</v>
      </c>
      <c r="B31" s="126">
        <f>SUM(B29:B30)</f>
        <v>0</v>
      </c>
      <c r="C31" s="126">
        <f>SUM(C29:C30)</f>
        <v>15107551.780000001</v>
      </c>
      <c r="D31" s="126">
        <f>SUM(D29:D30)</f>
        <v>10227799.870000001</v>
      </c>
      <c r="E31" s="127">
        <f>D31/C31*100</f>
        <v>67.699916034972546</v>
      </c>
    </row>
    <row r="32" spans="1:7" ht="13.5" thickTop="1" x14ac:dyDescent="0.2"/>
  </sheetData>
  <pageMargins left="0.78740157480314965" right="0.78740157480314965" top="0.98425196850393704" bottom="0.98425196850393704" header="0.51181102362204722" footer="0.51181102362204722"/>
  <pageSetup paperSize="9" scale="66" firstPageNumber="196" orientation="portrait" useFirstPageNumber="1" r:id="rId1"/>
  <headerFooter alignWithMargins="0">
    <oddFooter>&amp;L&amp;"Arial,Kurzíva"Zastupitelstvo Olomouckého kraje 20.6.2014
5.2. - Závěrečný účet Olomouckého kraje za rok 2013 
Příloha č. 8: Přehled financování investičních akcí v roce 2013&amp;R&amp;"Arial,Kurzíva"Strana &amp;P (celkem 480)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rekapitulace</vt:lpstr>
      <vt:lpstr>8a. EIB - Evropské programy</vt:lpstr>
      <vt:lpstr>8b. KB 2013</vt:lpstr>
      <vt:lpstr>8c. OK 2013</vt:lpstr>
      <vt:lpstr>d) dotace</vt:lpstr>
      <vt:lpstr>'8a. EIB - Evropské programy'!Oblast_tisku</vt:lpstr>
      <vt:lpstr>'8b. KB 2013'!Oblast_tisku</vt:lpstr>
      <vt:lpstr>'8c. OK 2013'!Oblast_tisku</vt:lpstr>
      <vt:lpstr>'d) dotace'!Oblast_tisku</vt:lpstr>
      <vt:lpstr>rekapitulace!Oblast_tisku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benesova</dc:creator>
  <cp:lastModifiedBy>Foret Oldřich</cp:lastModifiedBy>
  <cp:lastPrinted>2014-06-02T12:44:58Z</cp:lastPrinted>
  <dcterms:created xsi:type="dcterms:W3CDTF">2010-08-09T11:30:13Z</dcterms:created>
  <dcterms:modified xsi:type="dcterms:W3CDTF">2014-06-02T12:45:25Z</dcterms:modified>
</cp:coreProperties>
</file>